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S:\Chief Business Officer\Member Services Desk\SBRG\Round 4 documents\"/>
    </mc:Choice>
  </mc:AlternateContent>
  <xr:revisionPtr revIDLastSave="0" documentId="8_{4344AF65-2B29-4C36-9B9F-675B2BE5CA9E}" xr6:coauthVersionLast="45" xr6:coauthVersionMax="45" xr10:uidLastSave="{00000000-0000-0000-0000-000000000000}"/>
  <bookViews>
    <workbookView xWindow="1830" yWindow="2730" windowWidth="26970" windowHeight="12570" xr2:uid="{00000000-000D-0000-FFFF-FFFF00000000}"/>
  </bookViews>
  <sheets>
    <sheet name="Instructions" sheetId="2" r:id="rId1"/>
    <sheet name="App &amp; Funding Request Form" sheetId="3" r:id="rId2"/>
    <sheet name="$DB.LOOKUP" sheetId="5" state="hidden" r:id="rId3"/>
    <sheet name="EUC Documentation" sheetId="6" state="hidden" r:id="rId4"/>
  </sheets>
  <definedNames>
    <definedName name="AMIDATA_LOOKUP">'$DB.LOOKUP'!$E$3:$G$83</definedName>
    <definedName name="APPLICATION_DATE">'App &amp; Funding Request Form'!$P$6</definedName>
    <definedName name="DROP_OUT_ADJUSTMENTS">'App &amp; Funding Request Form'!#REF!</definedName>
    <definedName name="ELIG_BASIS_ANNUAL_RECEIPTS">'$DB.LOOKUP'!$I$3</definedName>
    <definedName name="ELIG_BASIS_NUM_EMPLOYEES">'$DB.LOOKUP'!$I$4</definedName>
    <definedName name="FRF_ID">'App &amp; Funding Request Form'!$D$12</definedName>
    <definedName name="FRF_ID_MEMBER_ID">'App &amp; Funding Request Form'!$D$6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ISION_DATE">'$DB.LOOKUP'!$L$4</definedName>
    <definedName name="MAX_GRANT_AMT">'$DB.LOOKUP'!$L$3</definedName>
    <definedName name="MEMBER_NAME">'App &amp; Funding Request Form'!$F$6</definedName>
    <definedName name="NET_FUNDING_REQUEST">'App &amp; Funding Request Form'!$Y$12</definedName>
    <definedName name="NONPROFIT_ORG_NAME">'App &amp; Funding Request Form'!$Q$6</definedName>
    <definedName name="NP_ANNUAL_OPBUDGET_THRESHOLD_ELIGIBILITY">'$DB.LOOKUP'!$L$6</definedName>
    <definedName name="_xlnm.Print_Titles" localSheetId="1">'App &amp; Funding Request Form'!$17:$19</definedName>
    <definedName name="_xlnm.Print_Titles" localSheetId="0">Instructions!$1:$3</definedName>
    <definedName name="RANGE_ANALYST_RECOMMENDATION">'$DB.LOOKUP'!$P$3:$P$4</definedName>
    <definedName name="RANGE_FUNDING_LEVERAGE">'$DB.LOOKUP'!$Z$3:$Z$5</definedName>
    <definedName name="RANGE_LOOKUP_COUNTY_NJ">'$DB.LOOKUP'!$G$84:$G$104</definedName>
    <definedName name="RANGE_LOOKUP_COUNTY_NY">'$DB.LOOKUP'!$G$105:$G$166</definedName>
    <definedName name="RANGE_LOOKUP_COUNTY_PLACEHOLDER">'$DB.LOOKUP'!$C$3</definedName>
    <definedName name="RANGE_LOOKUP_COUNTY_PR">'$DB.LOOKUP'!$G$3:$G$80</definedName>
    <definedName name="RANGE_LOOKUP_COUNTY_VI">'$DB.LOOKUP'!$G$81:$G$83</definedName>
    <definedName name="RANGE_LOOKUP_ELIGIBILITY_BASIS">'$DB.LOOKUP'!$I$3:$I$4</definedName>
    <definedName name="RANGE_LOOKUP_FUNDINGTYPE">'$DB.LOOKUP'!$N$3:$N$5</definedName>
    <definedName name="RANGE_LOOKUP_MEMBER_FHFIDPREFIX">'$DB.LOOKUP'!#REF!</definedName>
    <definedName name="RANGE_LOOKUP_MEMBERLIST">'$DB.LOOKUP'!#REF!</definedName>
    <definedName name="RANGE_LOOKUP_STATE">'$DB.LOOKUP'!$A$3:$A$6</definedName>
    <definedName name="RANGE_ORG_OP_STATUS">'$DB.LOOKUP'!$X$3:$X$5</definedName>
    <definedName name="RANGE_ORG_TYPE">'$DB.LOOKUP'!$V$3:$V$4</definedName>
    <definedName name="RANGE_ORG_TYPE_NONPROFIT">'$DB.LOOKUP'!$V$4</definedName>
    <definedName name="RANGE_ORG_TYPE_SMALLBUSINESS">'$DB.LOOKUP'!$V$3</definedName>
    <definedName name="RANGE_OWNERSHIP_STRUCTURE">'$DB.LOOKUP'!$R$3:$R$8</definedName>
    <definedName name="RANGE_TAXID_TYPE">'$DB.LOOKUP'!$AB$3:$AB$4</definedName>
    <definedName name="RANGE_TAXID_TYPE_EIN">'$DB.LOOKUP'!$AB$3</definedName>
    <definedName name="RANGE_TAXID_TYPE_SSN">'$DB.LOOKUP'!$AB$4</definedName>
    <definedName name="RANGE_YESNO">'$DB.LOOKUP'!$T$3:$T$4</definedName>
    <definedName name="RANGE_YESNO_NO">'$DB.LOOKUP'!$T$4</definedName>
    <definedName name="RANGE_YESNO_YES">'$DB.LOOKUP'!$T$3</definedName>
    <definedName name="REVENUE_DECLINE_THRESHOLD_ELIGIBILITY">'$DB.LOOKUP'!$L$5</definedName>
    <definedName name="TOTAL_FUNDING_REQUEST">'App &amp; Funding Request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4" i="3" l="1"/>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2" i="3"/>
  <c r="AO63" i="3"/>
  <c r="AO64" i="3"/>
  <c r="AO65" i="3"/>
  <c r="AO66" i="3"/>
  <c r="AO67" i="3"/>
  <c r="AO68" i="3"/>
  <c r="AO69" i="3"/>
  <c r="AO70" i="3"/>
  <c r="AO71" i="3"/>
  <c r="B22" i="3"/>
  <c r="AO22" i="3" s="1"/>
  <c r="B23" i="3"/>
  <c r="AO23" i="3" s="1"/>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AO61" i="3" s="1"/>
  <c r="B62" i="3"/>
  <c r="B63" i="3"/>
  <c r="B64" i="3"/>
  <c r="B65" i="3"/>
  <c r="B66" i="3"/>
  <c r="B67" i="3"/>
  <c r="B68" i="3"/>
  <c r="B69" i="3"/>
  <c r="B70" i="3"/>
  <c r="B71" i="3"/>
  <c r="AQ22" i="3" l="1"/>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S22" i="3"/>
  <c r="AT22" i="3" s="1"/>
  <c r="D11" i="3" l="1"/>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AQ20" i="3" l="1"/>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AU22" i="3" l="1"/>
  <c r="X12" i="3" l="1"/>
  <c r="W12" i="3"/>
  <c r="X7" i="3"/>
  <c r="X6" i="3"/>
  <c r="Y12" i="3" l="1"/>
  <c r="D8" i="3" s="1" a="1"/>
  <c r="D8" i="3" s="1"/>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S23" i="3" l="1"/>
  <c r="AT23" i="3" s="1"/>
  <c r="AS24" i="3"/>
  <c r="AT24" i="3" s="1"/>
  <c r="AS25" i="3"/>
  <c r="AT25" i="3" s="1"/>
  <c r="AS26" i="3"/>
  <c r="AT26" i="3" s="1"/>
  <c r="AS27" i="3"/>
  <c r="AT27" i="3" s="1"/>
  <c r="AS28" i="3"/>
  <c r="AT28" i="3" s="1"/>
  <c r="AS29" i="3"/>
  <c r="AT29" i="3" s="1"/>
  <c r="AS30" i="3"/>
  <c r="AT30" i="3" s="1"/>
  <c r="AS31" i="3"/>
  <c r="AT31" i="3" s="1"/>
  <c r="AS32" i="3"/>
  <c r="AT32" i="3" s="1"/>
  <c r="AS33" i="3"/>
  <c r="AT33" i="3" s="1"/>
  <c r="AS34" i="3"/>
  <c r="AT34" i="3" s="1"/>
  <c r="AS35" i="3"/>
  <c r="AT35" i="3" s="1"/>
  <c r="AS36" i="3"/>
  <c r="AT36" i="3" s="1"/>
  <c r="AS37" i="3"/>
  <c r="AT37" i="3" s="1"/>
  <c r="AS38" i="3"/>
  <c r="AT38" i="3" s="1"/>
  <c r="AS39" i="3"/>
  <c r="AT39" i="3" s="1"/>
  <c r="AS40" i="3"/>
  <c r="AT40" i="3" s="1"/>
  <c r="AS41" i="3"/>
  <c r="AT41" i="3" s="1"/>
  <c r="AS42" i="3"/>
  <c r="AT42" i="3" s="1"/>
  <c r="AS43" i="3"/>
  <c r="AT43" i="3" s="1"/>
  <c r="AS44" i="3"/>
  <c r="AT44" i="3" s="1"/>
  <c r="AS45" i="3"/>
  <c r="AT45" i="3" s="1"/>
  <c r="AS46" i="3"/>
  <c r="AT46" i="3" s="1"/>
  <c r="AS47" i="3"/>
  <c r="AT47" i="3" s="1"/>
  <c r="AS48" i="3"/>
  <c r="AT48" i="3" s="1"/>
  <c r="AS49" i="3"/>
  <c r="AT49" i="3" s="1"/>
  <c r="AS50" i="3"/>
  <c r="AT50" i="3" s="1"/>
  <c r="AS51" i="3"/>
  <c r="AT51" i="3" s="1"/>
  <c r="AS52" i="3"/>
  <c r="AT52" i="3" s="1"/>
  <c r="AS53" i="3"/>
  <c r="AT53" i="3" s="1"/>
  <c r="AS54" i="3"/>
  <c r="AT54" i="3" s="1"/>
  <c r="AS55" i="3"/>
  <c r="AT55" i="3" s="1"/>
  <c r="AS56" i="3"/>
  <c r="AT56" i="3" s="1"/>
  <c r="AS57" i="3"/>
  <c r="AT57" i="3" s="1"/>
  <c r="AS58" i="3"/>
  <c r="AT58" i="3" s="1"/>
  <c r="AS59" i="3"/>
  <c r="AT59" i="3" s="1"/>
  <c r="AS60" i="3"/>
  <c r="AT60" i="3" s="1"/>
  <c r="AS61" i="3"/>
  <c r="AT61" i="3" s="1"/>
  <c r="AS62" i="3"/>
  <c r="AT62" i="3" s="1"/>
  <c r="AS63" i="3"/>
  <c r="AT63" i="3" s="1"/>
  <c r="AS64" i="3"/>
  <c r="AT64" i="3" s="1"/>
  <c r="AS65" i="3"/>
  <c r="AT65" i="3" s="1"/>
  <c r="AS66" i="3"/>
  <c r="AT66" i="3" s="1"/>
  <c r="AS67" i="3"/>
  <c r="AT67" i="3" s="1"/>
  <c r="AS68" i="3"/>
  <c r="AT68" i="3" s="1"/>
  <c r="AS69" i="3"/>
  <c r="AT69" i="3" s="1"/>
  <c r="AS70" i="3"/>
  <c r="AT70" i="3" s="1"/>
  <c r="AS71" i="3"/>
  <c r="AT71" i="3" s="1"/>
  <c r="AS20" i="3"/>
  <c r="AT20" i="3" s="1"/>
  <c r="F49" i="3"/>
  <c r="F50" i="3"/>
  <c r="F51" i="3"/>
  <c r="F53" i="3"/>
  <c r="F56" i="3"/>
  <c r="F57" i="3"/>
  <c r="F58" i="3"/>
  <c r="F59" i="3"/>
  <c r="F60" i="3"/>
  <c r="F62" i="3"/>
  <c r="F63" i="3"/>
  <c r="F64" i="3"/>
  <c r="F65" i="3"/>
  <c r="F66" i="3"/>
  <c r="F67" i="3"/>
  <c r="F69" i="3"/>
  <c r="F70" i="3"/>
  <c r="F46" i="3"/>
  <c r="F47" i="3"/>
  <c r="F48" i="3"/>
  <c r="F52" i="3"/>
  <c r="F54" i="3"/>
  <c r="F55" i="3"/>
  <c r="F68" i="3"/>
  <c r="G46" i="3"/>
  <c r="G47" i="3"/>
  <c r="G48" i="3"/>
  <c r="G49" i="3"/>
  <c r="G50" i="3"/>
  <c r="G51" i="3"/>
  <c r="G52" i="3"/>
  <c r="G53" i="3"/>
  <c r="G54" i="3"/>
  <c r="G55" i="3"/>
  <c r="G56" i="3"/>
  <c r="G57" i="3"/>
  <c r="G58" i="3"/>
  <c r="G59" i="3"/>
  <c r="G60" i="3"/>
  <c r="G61" i="3"/>
  <c r="G62" i="3"/>
  <c r="G63" i="3"/>
  <c r="G64" i="3"/>
  <c r="G65" i="3"/>
  <c r="G66" i="3"/>
  <c r="G67" i="3"/>
  <c r="G68" i="3"/>
  <c r="G69" i="3"/>
  <c r="G70" i="3"/>
  <c r="H46" i="3"/>
  <c r="H47" i="3"/>
  <c r="H48" i="3"/>
  <c r="H49" i="3"/>
  <c r="H50" i="3"/>
  <c r="H51" i="3"/>
  <c r="H52" i="3"/>
  <c r="H53" i="3"/>
  <c r="H54" i="3"/>
  <c r="H55" i="3"/>
  <c r="H56" i="3"/>
  <c r="H57" i="3"/>
  <c r="H58" i="3"/>
  <c r="H59" i="3"/>
  <c r="H60" i="3"/>
  <c r="H61" i="3"/>
  <c r="H62" i="3"/>
  <c r="H63" i="3"/>
  <c r="H64" i="3"/>
  <c r="H65" i="3"/>
  <c r="H66" i="3"/>
  <c r="H67" i="3"/>
  <c r="H68" i="3"/>
  <c r="H69" i="3"/>
  <c r="H70" i="3"/>
  <c r="K46" i="3"/>
  <c r="K47" i="3"/>
  <c r="K48" i="3"/>
  <c r="K49" i="3"/>
  <c r="K50" i="3"/>
  <c r="K51" i="3"/>
  <c r="K52" i="3"/>
  <c r="K53" i="3"/>
  <c r="K54" i="3"/>
  <c r="K55" i="3"/>
  <c r="K56" i="3"/>
  <c r="K57" i="3"/>
  <c r="K58" i="3"/>
  <c r="K59" i="3"/>
  <c r="K60" i="3"/>
  <c r="K61" i="3"/>
  <c r="K62" i="3"/>
  <c r="K63" i="3"/>
  <c r="K64" i="3"/>
  <c r="K65" i="3"/>
  <c r="K66" i="3"/>
  <c r="K67" i="3"/>
  <c r="K68" i="3"/>
  <c r="K69" i="3"/>
  <c r="K70"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U46" i="3"/>
  <c r="AW46" i="3" s="1"/>
  <c r="AU47" i="3"/>
  <c r="AW47" i="3" s="1"/>
  <c r="AU48" i="3"/>
  <c r="AW48" i="3" s="1"/>
  <c r="AU49" i="3"/>
  <c r="AW49" i="3" s="1"/>
  <c r="AU50" i="3"/>
  <c r="AW50" i="3" s="1"/>
  <c r="AU51" i="3"/>
  <c r="AW51" i="3" s="1"/>
  <c r="AU52" i="3"/>
  <c r="AW52" i="3" s="1"/>
  <c r="AU53" i="3"/>
  <c r="AW53" i="3" s="1"/>
  <c r="AU54" i="3"/>
  <c r="AW54" i="3" s="1"/>
  <c r="AU55" i="3"/>
  <c r="AW55" i="3" s="1"/>
  <c r="AU56" i="3"/>
  <c r="AW56" i="3" s="1"/>
  <c r="AU57" i="3"/>
  <c r="AW57" i="3" s="1"/>
  <c r="AU58" i="3"/>
  <c r="AW58" i="3" s="1"/>
  <c r="AU59" i="3"/>
  <c r="AW59" i="3" s="1"/>
  <c r="AU60" i="3"/>
  <c r="AW60" i="3" s="1"/>
  <c r="AU61" i="3"/>
  <c r="AW61" i="3" s="1"/>
  <c r="AU62" i="3"/>
  <c r="AW62" i="3" s="1"/>
  <c r="AU63" i="3"/>
  <c r="AW63" i="3" s="1"/>
  <c r="AU64" i="3"/>
  <c r="AW64" i="3" s="1"/>
  <c r="AU65" i="3"/>
  <c r="AW65" i="3" s="1"/>
  <c r="AU66" i="3"/>
  <c r="AW66" i="3" s="1"/>
  <c r="AU67" i="3"/>
  <c r="AW67" i="3" s="1"/>
  <c r="AU68" i="3"/>
  <c r="AW68" i="3" s="1"/>
  <c r="AU69" i="3"/>
  <c r="AW69" i="3" s="1"/>
  <c r="AU70" i="3"/>
  <c r="AW70" i="3" s="1"/>
  <c r="X11" i="3" l="1"/>
  <c r="X10" i="3"/>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84" i="5"/>
  <c r="K22" i="3"/>
  <c r="W11" i="3" s="1"/>
  <c r="K23" i="3"/>
  <c r="K24" i="3"/>
  <c r="K25" i="3"/>
  <c r="K26" i="3"/>
  <c r="K27" i="3"/>
  <c r="K28" i="3"/>
  <c r="K29" i="3"/>
  <c r="K30" i="3"/>
  <c r="K31" i="3"/>
  <c r="K32" i="3"/>
  <c r="K33" i="3"/>
  <c r="K34" i="3"/>
  <c r="K35" i="3"/>
  <c r="K36" i="3"/>
  <c r="K37" i="3"/>
  <c r="K38" i="3"/>
  <c r="K39" i="3"/>
  <c r="K40" i="3"/>
  <c r="K41" i="3"/>
  <c r="K42" i="3"/>
  <c r="K43" i="3"/>
  <c r="K44" i="3"/>
  <c r="K45" i="3"/>
  <c r="K71" i="3"/>
  <c r="W10" i="3" l="1"/>
  <c r="Y10" i="3" s="1"/>
  <c r="W7" i="3"/>
  <c r="Y7" i="3" s="1"/>
  <c r="W6" i="3"/>
  <c r="Y6" i="3" s="1"/>
  <c r="Y11" i="3"/>
  <c r="W8" i="3"/>
  <c r="W9" i="3"/>
  <c r="X9" i="3"/>
  <c r="X8" i="3"/>
  <c r="D6" i="3"/>
  <c r="Y9" i="3" l="1"/>
  <c r="Y8" i="3"/>
  <c r="J24" i="3"/>
  <c r="J49" i="3"/>
  <c r="J57" i="3"/>
  <c r="J65" i="3"/>
  <c r="J50" i="3"/>
  <c r="J58" i="3"/>
  <c r="J66" i="3"/>
  <c r="J60" i="3"/>
  <c r="J51" i="3"/>
  <c r="J59" i="3"/>
  <c r="J67" i="3"/>
  <c r="J53" i="3"/>
  <c r="J61" i="3"/>
  <c r="J69" i="3"/>
  <c r="J52" i="3"/>
  <c r="J46" i="3"/>
  <c r="J54" i="3"/>
  <c r="J62" i="3"/>
  <c r="J70" i="3"/>
  <c r="J47" i="3"/>
  <c r="J55" i="3"/>
  <c r="J63" i="3"/>
  <c r="J68" i="3"/>
  <c r="J48" i="3"/>
  <c r="J56" i="3"/>
  <c r="J64" i="3"/>
  <c r="J39" i="3"/>
  <c r="J36" i="3"/>
  <c r="J27" i="3"/>
  <c r="J31" i="3"/>
  <c r="J23" i="3"/>
  <c r="J71" i="3"/>
  <c r="J38" i="3"/>
  <c r="J30" i="3"/>
  <c r="J22" i="3"/>
  <c r="J45" i="3"/>
  <c r="J37" i="3"/>
  <c r="J29" i="3"/>
  <c r="J44" i="3"/>
  <c r="J28" i="3"/>
  <c r="J43" i="3"/>
  <c r="J35" i="3"/>
  <c r="J42" i="3"/>
  <c r="J34" i="3"/>
  <c r="J26" i="3"/>
  <c r="J41" i="3"/>
  <c r="J33" i="3"/>
  <c r="J25" i="3"/>
  <c r="J40" i="3"/>
  <c r="J32" i="3"/>
  <c r="AU23" i="3" l="1"/>
  <c r="AU24" i="3"/>
  <c r="AU25" i="3"/>
  <c r="AU26" i="3"/>
  <c r="AU27" i="3"/>
  <c r="AU28" i="3"/>
  <c r="AU29" i="3"/>
  <c r="AU30" i="3"/>
  <c r="AU31" i="3"/>
  <c r="AU32" i="3"/>
  <c r="AU33" i="3"/>
  <c r="AU34" i="3"/>
  <c r="AU35" i="3"/>
  <c r="AU36" i="3"/>
  <c r="AU37" i="3"/>
  <c r="AU38" i="3"/>
  <c r="AU39" i="3"/>
  <c r="AU40" i="3"/>
  <c r="AU41" i="3"/>
  <c r="AU42" i="3"/>
  <c r="AU43" i="3"/>
  <c r="AU44" i="3"/>
  <c r="AU45" i="3"/>
  <c r="AU71" i="3"/>
  <c r="AL22" i="3" l="1"/>
  <c r="AL23" i="3"/>
  <c r="AL24" i="3"/>
  <c r="AL25" i="3"/>
  <c r="AL26" i="3"/>
  <c r="AL27" i="3"/>
  <c r="AL28" i="3"/>
  <c r="AL29" i="3"/>
  <c r="AL30" i="3"/>
  <c r="AL31" i="3"/>
  <c r="AL32" i="3"/>
  <c r="AL33" i="3"/>
  <c r="AL34" i="3"/>
  <c r="AL35" i="3"/>
  <c r="AL36" i="3"/>
  <c r="AL37" i="3"/>
  <c r="AL38" i="3"/>
  <c r="AL39" i="3"/>
  <c r="AL40" i="3"/>
  <c r="AL41" i="3"/>
  <c r="AL42" i="3"/>
  <c r="AL43" i="3"/>
  <c r="AL44" i="3"/>
  <c r="AL45" i="3"/>
  <c r="AL71" i="3"/>
  <c r="AW23" i="3" l="1"/>
  <c r="AW24" i="3"/>
  <c r="AW25" i="3"/>
  <c r="AW26" i="3"/>
  <c r="AW27" i="3"/>
  <c r="AW28" i="3"/>
  <c r="AW29" i="3"/>
  <c r="AW30" i="3"/>
  <c r="AW31" i="3"/>
  <c r="AW32" i="3"/>
  <c r="AW33" i="3"/>
  <c r="AW34" i="3"/>
  <c r="AW35" i="3"/>
  <c r="AW36" i="3"/>
  <c r="AW37" i="3"/>
  <c r="AW38" i="3"/>
  <c r="AW39" i="3"/>
  <c r="AW40" i="3"/>
  <c r="AW41" i="3"/>
  <c r="AW42" i="3"/>
  <c r="AW43" i="3"/>
  <c r="AW44" i="3"/>
  <c r="AW45" i="3"/>
  <c r="AW71" i="3"/>
  <c r="AW22" i="3"/>
  <c r="H22" i="3" l="1"/>
  <c r="H23" i="3"/>
  <c r="H24" i="3"/>
  <c r="H25" i="3"/>
  <c r="H26" i="3"/>
  <c r="H27" i="3"/>
  <c r="H28" i="3"/>
  <c r="H29" i="3"/>
  <c r="H30" i="3"/>
  <c r="H31" i="3"/>
  <c r="H32" i="3"/>
  <c r="H33" i="3"/>
  <c r="H34" i="3"/>
  <c r="H35" i="3"/>
  <c r="H36" i="3"/>
  <c r="H37" i="3"/>
  <c r="H38" i="3"/>
  <c r="H39" i="3"/>
  <c r="H40" i="3"/>
  <c r="H41" i="3"/>
  <c r="H42" i="3"/>
  <c r="H43" i="3"/>
  <c r="H44" i="3"/>
  <c r="H45" i="3"/>
  <c r="H71" i="3"/>
  <c r="D7" i="3"/>
  <c r="G22" i="3"/>
  <c r="G23" i="3"/>
  <c r="G24" i="3"/>
  <c r="G25" i="3"/>
  <c r="G26" i="3"/>
  <c r="G27" i="3"/>
  <c r="G28" i="3"/>
  <c r="G29" i="3"/>
  <c r="G30" i="3"/>
  <c r="G31" i="3"/>
  <c r="G32" i="3"/>
  <c r="G33" i="3"/>
  <c r="G34" i="3"/>
  <c r="G35" i="3"/>
  <c r="G36" i="3"/>
  <c r="G37" i="3"/>
  <c r="G38" i="3"/>
  <c r="G39" i="3"/>
  <c r="G40" i="3"/>
  <c r="G41" i="3"/>
  <c r="G42" i="3"/>
  <c r="G43" i="3"/>
  <c r="G44" i="3"/>
  <c r="G45" i="3"/>
  <c r="G71" i="3"/>
  <c r="E61" i="3" l="1"/>
  <c r="D61" i="3" s="1"/>
  <c r="E51" i="3"/>
  <c r="D51" i="3" s="1"/>
  <c r="E57" i="3"/>
  <c r="D57" i="3" s="1"/>
  <c r="E67" i="3"/>
  <c r="D67" i="3" s="1"/>
  <c r="E69" i="3"/>
  <c r="D69" i="3" s="1"/>
  <c r="E48" i="3"/>
  <c r="D48" i="3" s="1"/>
  <c r="E47" i="3"/>
  <c r="D47" i="3" s="1"/>
  <c r="E53" i="3"/>
  <c r="D53" i="3" s="1"/>
  <c r="E65" i="3"/>
  <c r="D65" i="3" s="1"/>
  <c r="E52" i="3"/>
  <c r="D52" i="3" s="1"/>
  <c r="E50" i="3"/>
  <c r="D50" i="3" s="1"/>
  <c r="E49" i="3"/>
  <c r="D49" i="3" s="1"/>
  <c r="E63" i="3"/>
  <c r="D63" i="3" s="1"/>
  <c r="E56" i="3"/>
  <c r="D56" i="3" s="1"/>
  <c r="E60" i="3"/>
  <c r="D60" i="3" s="1"/>
  <c r="E66" i="3"/>
  <c r="D66" i="3" s="1"/>
  <c r="E70" i="3"/>
  <c r="D70" i="3" s="1"/>
  <c r="E68" i="3"/>
  <c r="D68" i="3" s="1"/>
  <c r="E64" i="3"/>
  <c r="D64" i="3" s="1"/>
  <c r="E46" i="3"/>
  <c r="D46" i="3" s="1"/>
  <c r="E58" i="3"/>
  <c r="D58" i="3" s="1"/>
  <c r="E59" i="3"/>
  <c r="D59" i="3" s="1"/>
  <c r="E55" i="3"/>
  <c r="D55" i="3" s="1"/>
  <c r="E54" i="3"/>
  <c r="D54" i="3" s="1"/>
  <c r="E62" i="3"/>
  <c r="D62" i="3" s="1"/>
  <c r="F61" i="3" l="1"/>
  <c r="F1" i="2"/>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43" i="3" l="1"/>
  <c r="D43" i="3" s="1"/>
  <c r="E27" i="3"/>
  <c r="D27" i="3" s="1"/>
  <c r="E24" i="3"/>
  <c r="D24" i="3" s="1"/>
  <c r="E42" i="3"/>
  <c r="D42" i="3" s="1"/>
  <c r="E34" i="3"/>
  <c r="D34" i="3" s="1"/>
  <c r="F34" i="3" s="1"/>
  <c r="E26" i="3"/>
  <c r="D26" i="3" s="1"/>
  <c r="E23" i="3"/>
  <c r="D23" i="3" s="1"/>
  <c r="E35" i="3"/>
  <c r="D35" i="3" s="1"/>
  <c r="E41" i="3"/>
  <c r="D41" i="3" s="1"/>
  <c r="E33" i="3"/>
  <c r="D33" i="3" s="1"/>
  <c r="F33" i="3" s="1"/>
  <c r="E25" i="3"/>
  <c r="D25" i="3" s="1"/>
  <c r="E32" i="3"/>
  <c r="D32" i="3" s="1"/>
  <c r="E40" i="3"/>
  <c r="D40" i="3" s="1"/>
  <c r="E31" i="3"/>
  <c r="D31" i="3" s="1"/>
  <c r="E22" i="3"/>
  <c r="D22" i="3" s="1"/>
  <c r="E39" i="3"/>
  <c r="D39" i="3" s="1"/>
  <c r="E71" i="3"/>
  <c r="D71" i="3" s="1"/>
  <c r="E38" i="3"/>
  <c r="D38" i="3" s="1"/>
  <c r="E30" i="3"/>
  <c r="D30" i="3" s="1"/>
  <c r="E45" i="3"/>
  <c r="D45" i="3" s="1"/>
  <c r="E37" i="3"/>
  <c r="D37" i="3" s="1"/>
  <c r="E29" i="3"/>
  <c r="D29" i="3" s="1"/>
  <c r="E44" i="3"/>
  <c r="D44" i="3" s="1"/>
  <c r="E36" i="3"/>
  <c r="D36" i="3" s="1"/>
  <c r="E28" i="3"/>
  <c r="D28" i="3" s="1"/>
  <c r="F38" i="3"/>
  <c r="F35" i="3"/>
  <c r="F71" i="3"/>
  <c r="F40" i="3"/>
  <c r="F43" i="3"/>
  <c r="F36" i="3"/>
  <c r="F37" i="3"/>
  <c r="F41" i="3"/>
  <c r="F42" i="3"/>
  <c r="F44" i="3"/>
  <c r="F45" i="3"/>
  <c r="F39" i="3"/>
  <c r="F28" i="3" l="1"/>
  <c r="F26" i="3"/>
  <c r="F25" i="3"/>
  <c r="F32" i="3"/>
  <c r="F24" i="3" l="1"/>
  <c r="F31" i="3"/>
  <c r="F30" i="3"/>
  <c r="F27" i="3"/>
  <c r="F29" i="3"/>
  <c r="F23" i="3"/>
  <c r="F22" i="3"/>
  <c r="P12" i="3" l="1"/>
  <c r="P11" i="3"/>
  <c r="P10" i="3"/>
  <c r="D9" i="3"/>
  <c r="D10" i="3" l="1"/>
  <c r="D12" i="3" s="1"/>
  <c r="I47" i="3" l="1"/>
  <c r="I55" i="3"/>
  <c r="I63" i="3"/>
  <c r="I57" i="3"/>
  <c r="I70" i="3"/>
  <c r="I48" i="3"/>
  <c r="I56" i="3"/>
  <c r="I64" i="3"/>
  <c r="I65" i="3"/>
  <c r="I46" i="3"/>
  <c r="I54" i="3"/>
  <c r="I49" i="3"/>
  <c r="I50" i="3"/>
  <c r="I58" i="3"/>
  <c r="I66" i="3"/>
  <c r="I60" i="3"/>
  <c r="I51" i="3"/>
  <c r="I59" i="3"/>
  <c r="I67" i="3"/>
  <c r="I52" i="3"/>
  <c r="I68" i="3"/>
  <c r="I53" i="3"/>
  <c r="I61" i="3"/>
  <c r="I69" i="3"/>
  <c r="I62" i="3"/>
  <c r="I38" i="3"/>
  <c r="I26" i="3"/>
  <c r="I34" i="3"/>
  <c r="I28" i="3"/>
  <c r="I24" i="3"/>
  <c r="I41" i="3"/>
  <c r="I44" i="3"/>
  <c r="I39" i="3"/>
  <c r="I43" i="3"/>
  <c r="I71" i="3"/>
  <c r="I37" i="3"/>
  <c r="I27" i="3"/>
  <c r="I35" i="3"/>
  <c r="I30" i="3"/>
  <c r="I25" i="3"/>
  <c r="I42" i="3"/>
  <c r="I23" i="3"/>
  <c r="I45" i="3"/>
  <c r="I31" i="3"/>
  <c r="I32" i="3"/>
  <c r="I22" i="3"/>
  <c r="I40" i="3"/>
  <c r="I29" i="3"/>
  <c r="I33" i="3"/>
  <c r="I3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<sst xmlns="http://schemas.openxmlformats.org/spreadsheetml/2006/main" count="676" uniqueCount="449">
  <si>
    <t>Date</t>
  </si>
  <si>
    <t>Description of Changes</t>
  </si>
  <si>
    <r>
      <rPr>
        <i/>
        <sz val="10"/>
        <color rgb="FFC00000"/>
        <rFont val="Calibri"/>
        <family val="2"/>
        <scheme val="minor"/>
      </rPr>
      <t xml:space="preserve">* </t>
    </r>
    <r>
      <rPr>
        <i/>
        <sz val="10"/>
        <rFont val="Calibri"/>
        <family val="2"/>
        <scheme val="minor"/>
      </rPr>
      <t>Indicates Required Field</t>
    </r>
  </si>
  <si>
    <t>Sample</t>
  </si>
  <si>
    <t>ROW_ID</t>
  </si>
  <si>
    <r>
      <t xml:space="preserve">Member Name </t>
    </r>
    <r>
      <rPr>
        <sz val="10"/>
        <color rgb="FFC00000"/>
        <rFont val="Calibri"/>
        <family val="2"/>
        <scheme val="minor"/>
      </rPr>
      <t>*</t>
    </r>
  </si>
  <si>
    <t>Status</t>
  </si>
  <si>
    <t>REC_STATUS_CODE</t>
  </si>
  <si>
    <t>RECORD_STARTED</t>
  </si>
  <si>
    <t>REQ_FIELDS_POP</t>
  </si>
  <si>
    <t>ERROR_COUNT</t>
  </si>
  <si>
    <t>ADDRESS_STREET</t>
  </si>
  <si>
    <t>ADDRESS_STATE</t>
  </si>
  <si>
    <t>ADDRESS_ZIP</t>
  </si>
  <si>
    <t>ADDRESS_COUNTY</t>
  </si>
  <si>
    <t>FUNDS_REQUESTED</t>
  </si>
  <si>
    <t>FRF_ID</t>
  </si>
  <si>
    <t>{hidden]</t>
  </si>
  <si>
    <t>ADDRESS_CITY</t>
  </si>
  <si>
    <t>Funding Request Details</t>
  </si>
  <si>
    <t>STATE_CODE</t>
  </si>
  <si>
    <t>PR</t>
  </si>
  <si>
    <t>VI</t>
  </si>
  <si>
    <t>$DB.LOOKUP.RANGE_LOOKUP_STATE</t>
  </si>
  <si>
    <t>UNIQUE_ID</t>
  </si>
  <si>
    <t>COUNTY_NAME</t>
  </si>
  <si>
    <t>Manati</t>
  </si>
  <si>
    <t>St. Croix</t>
  </si>
  <si>
    <t>St. John</t>
  </si>
  <si>
    <t>St. Thomas</t>
  </si>
  <si>
    <t>$DB.LOOKUP.RANGE_LOOKUP_COUNTY_PLACEHOLDER</t>
  </si>
  <si>
    <t>COUNTY_PLACEHOLDER</t>
  </si>
  <si>
    <t>Select State First</t>
  </si>
  <si>
    <t>$DB.LOOKUP.RANGE_GENERAL_CONFIG</t>
  </si>
  <si>
    <t>CONFIG_NAME</t>
  </si>
  <si>
    <t>CONFIG_VALUE</t>
  </si>
  <si>
    <t>MAX_GRANT_AMT</t>
  </si>
  <si>
    <t>John Smith</t>
  </si>
  <si>
    <t>San Juan</t>
  </si>
  <si>
    <t>Status Icon</t>
  </si>
  <si>
    <t>Status Description</t>
  </si>
  <si>
    <t>All Required Fields Populated, No Errors</t>
  </si>
  <si>
    <t>One or More Validation Errors Exist</t>
  </si>
  <si>
    <t>LAST_REVISION_DATE</t>
  </si>
  <si>
    <t>FUNDING_TYPE</t>
  </si>
  <si>
    <t>$DB.LOOKUP.RANGE_FUNDING_TYPE</t>
  </si>
  <si>
    <t>Prospective</t>
  </si>
  <si>
    <t>Reimbursement</t>
  </si>
  <si>
    <t>UOF_DESC</t>
  </si>
  <si>
    <t>Funding Request Summary &amp; Member Signoff</t>
  </si>
  <si>
    <r>
      <t xml:space="preserve">Signoff Date </t>
    </r>
    <r>
      <rPr>
        <b/>
        <sz val="10"/>
        <color rgb="FFFF0000"/>
        <rFont val="Calibri"/>
        <family val="2"/>
        <scheme val="minor"/>
      </rPr>
      <t>*</t>
    </r>
  </si>
  <si>
    <t>ERROR_NOT_IN_ORDER</t>
  </si>
  <si>
    <t>MEMBER_ID</t>
  </si>
  <si>
    <t>Grant Details</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</si>
  <si>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</si>
  <si>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</si>
  <si>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</si>
  <si>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</si>
  <si>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</si>
  <si>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</si>
  <si>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</si>
  <si>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</si>
  <si>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</si>
  <si>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</si>
  <si>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</si>
  <si>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</si>
  <si>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</si>
  <si>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</si>
  <si>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</si>
  <si>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</si>
  <si>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</si>
  <si>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</si>
  <si>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</si>
  <si>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</si>
  <si>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</si>
  <si>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</si>
  <si>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</si>
  <si>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</si>
  <si>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</si>
  <si>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</si>
  <si>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</si>
  <si>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Florida</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</si>
  <si>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</si>
  <si>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</si>
  <si>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</si>
  <si>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</si>
  <si>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</si>
  <si>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</si>
  <si>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</si>
  <si>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</si>
  <si>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</si>
  <si>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</si>
  <si>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</si>
  <si>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</si>
  <si>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</si>
  <si>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</si>
  <si>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</si>
  <si>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</si>
  <si>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</si>
  <si>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</si>
  <si>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Maricao</t>
  </si>
  <si>
    <t>Maunabo</t>
  </si>
  <si>
    <t>Mayaguez</t>
  </si>
  <si>
    <t>Moca</t>
  </si>
  <si>
    <t>Morovis</t>
  </si>
  <si>
    <t>Naguabo</t>
  </si>
  <si>
    <t>Naranjito</t>
  </si>
  <si>
    <t>Orocovis</t>
  </si>
  <si>
    <t>Patillas</t>
  </si>
  <si>
    <t>Penuelas</t>
  </si>
  <si>
    <t>Ponce</t>
  </si>
  <si>
    <t>Quebradillas</t>
  </si>
  <si>
    <t>Rincon</t>
  </si>
  <si>
    <t>Rio Grande</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</si>
  <si>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</si>
  <si>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</si>
  <si>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</si>
  <si>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</si>
  <si>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</si>
  <si>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</si>
  <si>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</si>
  <si>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</si>
  <si>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</si>
  <si>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</si>
  <si>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</si>
  <si>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</si>
  <si>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</si>
  <si>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</si>
  <si>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</si>
  <si>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</si>
  <si>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Input Summary</t>
  </si>
  <si>
    <t>Analyst Name</t>
  </si>
  <si>
    <t>Comments</t>
  </si>
  <si>
    <t>$DB.LOOKUP.RANGE_ANALYST_RECOMMENDATION</t>
  </si>
  <si>
    <t>RECOMMENDATION_TYPE</t>
  </si>
  <si>
    <t>Approve</t>
  </si>
  <si>
    <t>Decline</t>
  </si>
  <si>
    <t>MAKER_NAME</t>
  </si>
  <si>
    <t>MAKER_COMPLETION_DATE</t>
  </si>
  <si>
    <t>MAKER_RECOMMEDATION</t>
  </si>
  <si>
    <t>MAKER_COMMENTS</t>
  </si>
  <si>
    <t>CHECKER_NAME</t>
  </si>
  <si>
    <t>CHECKER_COMPLETION_DATE</t>
  </si>
  <si>
    <t>CHECKER_RECOMMENDATION</t>
  </si>
  <si>
    <t>CHECKER_COMMENTS</t>
  </si>
  <si>
    <t>1st Review</t>
  </si>
  <si>
    <t>2nd Review</t>
  </si>
  <si>
    <r>
      <t xml:space="preserve">Email Address </t>
    </r>
    <r>
      <rPr>
        <sz val="10"/>
        <color rgb="FFFF0000"/>
        <rFont val="Calibri"/>
        <family val="2"/>
        <scheme val="minor"/>
      </rPr>
      <t>*</t>
    </r>
  </si>
  <si>
    <r>
      <t xml:space="preserve">Phone Number </t>
    </r>
    <r>
      <rPr>
        <b/>
        <sz val="10"/>
        <color rgb="FFFF0000"/>
        <rFont val="Calibri"/>
        <family val="2"/>
        <scheme val="minor"/>
      </rPr>
      <t>*</t>
    </r>
  </si>
  <si>
    <r>
      <t xml:space="preserve">Member Representative Name </t>
    </r>
    <r>
      <rPr>
        <b/>
        <sz val="10"/>
        <color rgb="FFFF0000"/>
        <rFont val="Calibri"/>
        <family val="2"/>
        <scheme val="minor"/>
      </rPr>
      <t>*</t>
    </r>
  </si>
  <si>
    <r>
      <t xml:space="preserve">Application Date </t>
    </r>
    <r>
      <rPr>
        <b/>
        <sz val="10"/>
        <color rgb="FFFF0000"/>
        <rFont val="Calibri"/>
        <family val="2"/>
        <scheme val="minor"/>
      </rPr>
      <t>*</t>
    </r>
  </si>
  <si>
    <r>
      <t>Street Address</t>
    </r>
    <r>
      <rPr>
        <b/>
        <sz val="10"/>
        <color rgb="FFFF0000"/>
        <rFont val="Calibri"/>
        <family val="2"/>
        <scheme val="minor"/>
      </rPr>
      <t xml:space="preserve"> *</t>
    </r>
  </si>
  <si>
    <r>
      <t>City</t>
    </r>
    <r>
      <rPr>
        <b/>
        <sz val="10"/>
        <color rgb="FFFF0000"/>
        <rFont val="Calibri"/>
        <family val="2"/>
        <scheme val="minor"/>
      </rPr>
      <t xml:space="preserve"> *</t>
    </r>
  </si>
  <si>
    <r>
      <t>State</t>
    </r>
    <r>
      <rPr>
        <b/>
        <sz val="10"/>
        <color rgb="FFFF0000"/>
        <rFont val="Calibri"/>
        <family val="2"/>
        <scheme val="minor"/>
      </rPr>
      <t xml:space="preserve"> *</t>
    </r>
  </si>
  <si>
    <r>
      <t>Zip Code</t>
    </r>
    <r>
      <rPr>
        <b/>
        <sz val="10"/>
        <color rgb="FFFF0000"/>
        <rFont val="Calibri"/>
        <family val="2"/>
        <scheme val="minor"/>
      </rPr>
      <t xml:space="preserve"> *</t>
    </r>
  </si>
  <si>
    <r>
      <t>County / Municipio</t>
    </r>
    <r>
      <rPr>
        <b/>
        <sz val="10"/>
        <color rgb="FFFF0000"/>
        <rFont val="Calibri"/>
        <family val="2"/>
        <scheme val="minor"/>
      </rPr>
      <t xml:space="preserve"> *</t>
    </r>
  </si>
  <si>
    <r>
      <t>Amount Requested</t>
    </r>
    <r>
      <rPr>
        <b/>
        <sz val="10"/>
        <color rgb="FFFF0000"/>
        <rFont val="Calibri"/>
        <family val="2"/>
        <scheme val="minor"/>
      </rPr>
      <t xml:space="preserve"> *</t>
    </r>
  </si>
  <si>
    <r>
      <t xml:space="preserve">Funding Type </t>
    </r>
    <r>
      <rPr>
        <b/>
        <sz val="10"/>
        <color rgb="FFC00000"/>
        <rFont val="Calibri"/>
        <family val="2"/>
        <scheme val="minor"/>
      </rPr>
      <t>*</t>
    </r>
  </si>
  <si>
    <r>
      <t xml:space="preserve">Proposed Use of Funds </t>
    </r>
    <r>
      <rPr>
        <sz val="10"/>
        <color rgb="FFC00000"/>
        <rFont val="Calibri"/>
        <family val="2"/>
        <scheme val="minor"/>
      </rPr>
      <t>*</t>
    </r>
  </si>
  <si>
    <t>One or More Required Fields Missing</t>
  </si>
  <si>
    <t># Records</t>
  </si>
  <si>
    <t>Row #</t>
  </si>
  <si>
    <t>Record Status &amp; Validation (Hidden)</t>
  </si>
  <si>
    <t>HIDDEN COLUMNS</t>
  </si>
  <si>
    <t>Elements (Calculated) to Create Unique FRF ID:</t>
  </si>
  <si>
    <t>A) Member ID</t>
  </si>
  <si>
    <t>B) Application Date</t>
  </si>
  <si>
    <t>FRF Unique ID</t>
  </si>
  <si>
    <t>C) Net Funds Requested</t>
  </si>
  <si>
    <t>D) # Records</t>
  </si>
  <si>
    <t>E) Zipcode Hash</t>
  </si>
  <si>
    <t>Application Date</t>
  </si>
  <si>
    <t>FRF ID (Unique)</t>
  </si>
  <si>
    <t>Member ID</t>
  </si>
  <si>
    <t>APPL_DATE</t>
  </si>
  <si>
    <t>Reimbursement / Prospective</t>
  </si>
  <si>
    <t>FHLBNY Internal Staff Only</t>
  </si>
  <si>
    <t>Bank Analyst Review Results</t>
  </si>
  <si>
    <t>Decision</t>
  </si>
  <si>
    <t>INCOME_TO_AMI_VERIFIED</t>
  </si>
  <si>
    <t>Funding Request Summary</t>
  </si>
  <si>
    <t>New Requests</t>
  </si>
  <si>
    <t>$DB.LOOKUP.RANGE_LOOKUP_COUNTYINCOME</t>
  </si>
  <si>
    <t>Member Certification &amp; Sign Off</t>
  </si>
  <si>
    <t>$DB.LOOKUP.RANGE_LOOKUP_ELIGIBILITY_BASIS</t>
  </si>
  <si>
    <t>ELIGIBILITY_BASIS</t>
  </si>
  <si>
    <t>Annual Receipts</t>
  </si>
  <si>
    <t>Number of Employees</t>
  </si>
  <si>
    <t>Main Street Grocery LLC.</t>
  </si>
  <si>
    <t>OWNER_NAME</t>
  </si>
  <si>
    <r>
      <t>Ownership Structure</t>
    </r>
    <r>
      <rPr>
        <b/>
        <sz val="10"/>
        <color rgb="FFFF0000"/>
        <rFont val="Calibri"/>
        <family val="2"/>
        <scheme val="minor"/>
      </rPr>
      <t xml:space="preserve"> *</t>
    </r>
  </si>
  <si>
    <t>OWNERSHIP_STRUCTURE</t>
  </si>
  <si>
    <t>NAICS_CODE</t>
  </si>
  <si>
    <r>
      <t>Eligibility Basis</t>
    </r>
    <r>
      <rPr>
        <b/>
        <sz val="10"/>
        <color rgb="FFFF0000"/>
        <rFont val="Calibri"/>
        <family val="2"/>
        <scheme val="minor"/>
      </rPr>
      <t xml:space="preserve"> *</t>
    </r>
  </si>
  <si>
    <t>ANNUAL_RECEIPTS</t>
  </si>
  <si>
    <t>NUMBER_EMPLOYEES</t>
  </si>
  <si>
    <t>SBA Qualified</t>
  </si>
  <si>
    <t>Yes</t>
  </si>
  <si>
    <t>SBA_QUALIFIED_FLAG</t>
  </si>
  <si>
    <t>SBA_MAX_ANNUAL_RECEIPTS</t>
  </si>
  <si>
    <t>SBA_MAX_NUMBER_EMPLOYEES</t>
  </si>
  <si>
    <r>
      <t>Owner Name</t>
    </r>
    <r>
      <rPr>
        <sz val="10"/>
        <color rgb="FFC00000"/>
        <rFont val="Calibri"/>
        <family val="2"/>
        <scheme val="minor"/>
      </rPr>
      <t xml:space="preserve"> *
</t>
    </r>
    <r>
      <rPr>
        <i/>
        <sz val="10"/>
        <rFont val="Calibri"/>
        <family val="2"/>
        <scheme val="minor"/>
      </rPr>
      <t>(or main contact)</t>
    </r>
  </si>
  <si>
    <r>
      <rPr>
        <b/>
        <u/>
        <sz val="10"/>
        <color theme="4" tint="-0.249977111117893"/>
        <rFont val="Calibri"/>
        <family val="2"/>
        <scheme val="minor"/>
      </rPr>
      <t>NAICS Code</t>
    </r>
    <r>
      <rPr>
        <b/>
        <sz val="10"/>
        <color theme="1"/>
        <rFont val="Calibri"/>
        <family val="2"/>
        <scheme val="minor"/>
      </rPr>
      <t xml:space="preserve"> </t>
    </r>
    <r>
      <rPr>
        <b/>
        <sz val="10"/>
        <color rgb="FFFF0000"/>
        <rFont val="Calibri"/>
        <family val="2"/>
        <scheme val="minor"/>
      </rPr>
      <t>*</t>
    </r>
  </si>
  <si>
    <t>SBA Qualifying Data Verification</t>
  </si>
  <si>
    <t>SBA_VERIFICATION_COMMENTS</t>
  </si>
  <si>
    <t>F) 1st Business Name Hash</t>
  </si>
  <si>
    <t>SBA_ELIGIBILITY_BUSACTUAL_VALUE</t>
  </si>
  <si>
    <t>SBA_ELIGIBILITY_MAX_VALUE</t>
  </si>
  <si>
    <t># of Employees</t>
  </si>
  <si>
    <r>
      <rPr>
        <b/>
        <u/>
        <sz val="10"/>
        <color theme="4" tint="-0.249977111117893"/>
        <rFont val="Calibri"/>
        <family val="2"/>
        <scheme val="minor"/>
      </rPr>
      <t>SBA Max.</t>
    </r>
    <r>
      <rPr>
        <b/>
        <sz val="10"/>
        <color theme="1"/>
        <rFont val="Calibri"/>
        <family val="2"/>
        <scheme val="minor"/>
      </rPr>
      <t xml:space="preserve"> </t>
    </r>
    <r>
      <rPr>
        <b/>
        <sz val="10"/>
        <color rgb="FFFF0000"/>
        <rFont val="Calibri"/>
        <family val="2"/>
        <scheme val="minor"/>
      </rPr>
      <t>*</t>
    </r>
  </si>
  <si>
    <r>
      <t>Actual</t>
    </r>
    <r>
      <rPr>
        <b/>
        <sz val="10"/>
        <color rgb="FFFF0000"/>
        <rFont val="Calibri"/>
        <family val="2"/>
        <scheme val="minor"/>
      </rPr>
      <t xml:space="preserve"> *</t>
    </r>
  </si>
  <si>
    <t>Corporation</t>
  </si>
  <si>
    <t>SBA Max. Value</t>
  </si>
  <si>
    <t>$DB.LOOKUP.RANGE_OWNERSHIP_STRUCTURE</t>
  </si>
  <si>
    <t>BUSINESS OWNERSHIP STRUCTURE</t>
  </si>
  <si>
    <t>Sole Proprietorship</t>
  </si>
  <si>
    <t>General Partnership</t>
  </si>
  <si>
    <t>Limited Partnership</t>
  </si>
  <si>
    <t>Limited Liability Partnership (LLP)</t>
  </si>
  <si>
    <t>Limited Liability Company (LLC)</t>
  </si>
  <si>
    <r>
      <t>Actual</t>
    </r>
    <r>
      <rPr>
        <sz val="10"/>
        <color theme="1"/>
        <rFont val="Calibri"/>
        <family val="2"/>
        <scheme val="minor"/>
      </rPr>
      <t xml:space="preserve"> (Lookup)</t>
    </r>
    <r>
      <rPr>
        <b/>
        <sz val="10"/>
        <color theme="1"/>
        <rFont val="Calibri"/>
        <family val="2"/>
        <scheme val="minor"/>
      </rPr>
      <t xml:space="preserve">
</t>
    </r>
    <r>
      <rPr>
        <sz val="10"/>
        <color theme="1"/>
        <rFont val="Calibri"/>
        <family val="2"/>
        <scheme val="minor"/>
      </rPr>
      <t>(Receipts or # Emp.)</t>
    </r>
  </si>
  <si>
    <t>BUSINESS_DESCRIPTION</t>
  </si>
  <si>
    <t>DUPLICATE_SUBMISSION</t>
  </si>
  <si>
    <t>No</t>
  </si>
  <si>
    <t>$DB.LOOKUP.RANGE_YESNO</t>
  </si>
  <si>
    <t>OPTION</t>
  </si>
  <si>
    <r>
      <t xml:space="preserve">Repeat Applicant </t>
    </r>
    <r>
      <rPr>
        <sz val="10"/>
        <color rgb="FFC00000"/>
        <rFont val="Calibri"/>
        <family val="2"/>
        <scheme val="minor"/>
      </rPr>
      <t>*</t>
    </r>
  </si>
  <si>
    <t>Returned Funds</t>
  </si>
  <si>
    <t>●</t>
  </si>
  <si>
    <r>
      <t xml:space="preserve">Organization Name </t>
    </r>
    <r>
      <rPr>
        <b/>
        <sz val="10"/>
        <color rgb="FFFF0000"/>
        <rFont val="Calibri"/>
        <family val="2"/>
        <scheme val="minor"/>
      </rPr>
      <t>*</t>
    </r>
  </si>
  <si>
    <t>ORGANIZATION_NAME</t>
  </si>
  <si>
    <t>Hidden Attributes (Import Only)</t>
  </si>
  <si>
    <t>NONPROF_OR_TRIBAL_FLAG</t>
  </si>
  <si>
    <t>ORGANIZATION_TYPE</t>
  </si>
  <si>
    <r>
      <t xml:space="preserve">Organization Type </t>
    </r>
    <r>
      <rPr>
        <b/>
        <sz val="10"/>
        <color rgb="FFFF0000"/>
        <rFont val="Calibri"/>
        <family val="2"/>
        <scheme val="minor"/>
      </rPr>
      <t>*</t>
    </r>
  </si>
  <si>
    <t>$DB.LOOKUP.RANGE_LOOKUP_ORG_TYPE</t>
  </si>
  <si>
    <t>Small Business</t>
  </si>
  <si>
    <t>Non-Profit</t>
  </si>
  <si>
    <r>
      <t>Tribal Land</t>
    </r>
    <r>
      <rPr>
        <b/>
        <sz val="10"/>
        <color rgb="FFFF0000"/>
        <rFont val="Calibri"/>
        <family val="2"/>
        <scheme val="minor"/>
      </rPr>
      <t xml:space="preserve"> *</t>
    </r>
  </si>
  <si>
    <t>TRIBAL_LAND_FLAG</t>
  </si>
  <si>
    <t>NJ</t>
  </si>
  <si>
    <t>NY</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</si>
  <si>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</si>
  <si>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</si>
  <si>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</si>
  <si>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</si>
  <si>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</si>
  <si>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</si>
  <si>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</si>
  <si>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</si>
  <si>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</si>
  <si>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</si>
  <si>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</si>
  <si>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</si>
  <si>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</si>
  <si>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</si>
  <si>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</si>
  <si>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</si>
  <si>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</si>
  <si>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</si>
  <si>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</si>
  <si>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</si>
  <si>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</si>
  <si>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Albany</t>
  </si>
  <si>
    <t>Allegany</t>
  </si>
  <si>
    <t>Bronx</t>
  </si>
  <si>
    <t>Broome</t>
  </si>
  <si>
    <t>Cattaraugus</t>
  </si>
  <si>
    <t>Cayuga</t>
  </si>
  <si>
    <t>Chautauqua</t>
  </si>
  <si>
    <t>Chemung</t>
  </si>
  <si>
    <t>Chenango</t>
  </si>
  <si>
    <t>Clinton</t>
  </si>
  <si>
    <t>Columbia</t>
  </si>
  <si>
    <t>Cortland</t>
  </si>
  <si>
    <t>Delaware</t>
  </si>
  <si>
    <t>Dutchess</t>
  </si>
  <si>
    <t>Erie</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</si>
  <si>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</si>
  <si>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</si>
  <si>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</si>
  <si>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</si>
  <si>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</si>
  <si>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</si>
  <si>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</si>
  <si>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</si>
  <si>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</si>
  <si>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</si>
  <si>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</si>
  <si>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</si>
  <si>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</si>
  <si>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</si>
  <si>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</si>
  <si>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</si>
  <si>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</si>
  <si>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</si>
  <si>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</si>
  <si>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</si>
  <si>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</si>
  <si>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</si>
  <si>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</si>
  <si>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</si>
  <si>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</si>
  <si>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</si>
  <si>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</si>
  <si>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</si>
  <si>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St. Lawrence</t>
  </si>
  <si>
    <t>Saratoga</t>
  </si>
  <si>
    <t>Schenectady</t>
  </si>
  <si>
    <t>Schoharie</t>
  </si>
  <si>
    <t>Schuyler</t>
  </si>
  <si>
    <t>Seneca</t>
  </si>
  <si>
    <t>Steuben</t>
  </si>
  <si>
    <t>Suffolk</t>
  </si>
  <si>
    <t>Sullivan</t>
  </si>
  <si>
    <t>Tioga</t>
  </si>
  <si>
    <t>Tompkins</t>
  </si>
  <si>
    <t>Ulster</t>
  </si>
  <si>
    <t>Washington</t>
  </si>
  <si>
    <t>Wayne</t>
  </si>
  <si>
    <t>Westchester</t>
  </si>
  <si>
    <t>Wyoming</t>
  </si>
  <si>
    <t>Yates</t>
  </si>
  <si>
    <t>Temporarily Closed</t>
  </si>
  <si>
    <t>Personnel Costs</t>
  </si>
  <si>
    <t>White Plains</t>
  </si>
  <si>
    <t>1400 Main Street</t>
  </si>
  <si>
    <t>ORG_OP_STATUS</t>
  </si>
  <si>
    <t>$DB.LOOKUP.RANGE_LOOKUP_ORG_OP_STATUS</t>
  </si>
  <si>
    <t>ORGANIZATION_OPERATIONAL_STATUS</t>
  </si>
  <si>
    <t>Fully Operational</t>
  </si>
  <si>
    <t>Operating on a Reduced Basis</t>
  </si>
  <si>
    <r>
      <t xml:space="preserve">Funding Leverage </t>
    </r>
    <r>
      <rPr>
        <b/>
        <sz val="10"/>
        <color rgb="FFC00000"/>
        <rFont val="Calibri"/>
        <family val="2"/>
        <scheme val="minor"/>
      </rPr>
      <t>*</t>
    </r>
  </si>
  <si>
    <t>FUNDING_LEVERAGE</t>
  </si>
  <si>
    <t>Other Operational Needs</t>
  </si>
  <si>
    <t>$DB.LOOKUP.RANGE_LOOKUP_FUNDING_LEVERAGE</t>
  </si>
  <si>
    <t>Pay Existing Debt</t>
  </si>
  <si>
    <t>Support New Borrowing</t>
  </si>
  <si>
    <t>Organization Information</t>
  </si>
  <si>
    <r>
      <t xml:space="preserve">Operational Status </t>
    </r>
    <r>
      <rPr>
        <sz val="10"/>
        <color rgb="FFC00000"/>
        <rFont val="Calibri"/>
        <family val="2"/>
        <scheme val="minor"/>
      </rPr>
      <t>*</t>
    </r>
  </si>
  <si>
    <r>
      <t xml:space="preserve">Organization Profile </t>
    </r>
    <r>
      <rPr>
        <sz val="11"/>
        <color theme="0"/>
        <rFont val="Calibri"/>
        <family val="2"/>
        <scheme val="minor"/>
      </rPr>
      <t>(</t>
    </r>
    <r>
      <rPr>
        <u/>
        <sz val="11"/>
        <color theme="0"/>
        <rFont val="Calibri"/>
        <family val="2"/>
        <scheme val="minor"/>
      </rPr>
      <t>Not</t>
    </r>
    <r>
      <rPr>
        <sz val="11"/>
        <color theme="0"/>
        <rFont val="Calibri"/>
        <family val="2"/>
        <scheme val="minor"/>
      </rPr>
      <t xml:space="preserve"> Required for Applicant Withdrawals)</t>
    </r>
  </si>
  <si>
    <r>
      <t>Description of the Organization</t>
    </r>
    <r>
      <rPr>
        <b/>
        <sz val="10"/>
        <color rgb="FFFF0000"/>
        <rFont val="Calibri"/>
        <family val="2"/>
        <scheme val="minor"/>
      </rPr>
      <t xml:space="preserve"> *</t>
    </r>
  </si>
  <si>
    <t>Food Retailer</t>
  </si>
  <si>
    <r>
      <t>Tax ID Type</t>
    </r>
    <r>
      <rPr>
        <b/>
        <sz val="10"/>
        <color rgb="FFFF0000"/>
        <rFont val="Calibri"/>
        <family val="2"/>
        <scheme val="minor"/>
      </rPr>
      <t xml:space="preserve"> *</t>
    </r>
  </si>
  <si>
    <t>EIN</t>
  </si>
  <si>
    <t>12-3456789</t>
  </si>
  <si>
    <t>$DB.LOOKUP.RANGE_LOOKUP_TAXID_TYPE</t>
  </si>
  <si>
    <t>TAXID_TYPE</t>
  </si>
  <si>
    <t>SSN</t>
  </si>
  <si>
    <t>TAXID_VALUE</t>
  </si>
  <si>
    <r>
      <t>Tax ID</t>
    </r>
    <r>
      <rPr>
        <sz val="10"/>
        <color rgb="FFC00000"/>
        <rFont val="Calibri"/>
        <family val="2"/>
        <scheme val="minor"/>
      </rPr>
      <t xml:space="preserve"> *
</t>
    </r>
    <r>
      <rPr>
        <i/>
        <sz val="10"/>
        <rFont val="Calibri"/>
        <family val="2"/>
        <scheme val="minor"/>
      </rPr>
      <t>(last 4 only for SSN)</t>
    </r>
  </si>
  <si>
    <r>
      <t xml:space="preserve">Qualifying Data </t>
    </r>
    <r>
      <rPr>
        <sz val="11"/>
        <color theme="0"/>
        <rFont val="Calibri"/>
        <family val="2"/>
        <scheme val="minor"/>
      </rPr>
      <t>(</t>
    </r>
    <r>
      <rPr>
        <u/>
        <sz val="11"/>
        <color theme="0"/>
        <rFont val="Calibri"/>
        <family val="2"/>
        <scheme val="minor"/>
      </rPr>
      <t>Not</t>
    </r>
    <r>
      <rPr>
        <sz val="11"/>
        <color theme="0"/>
        <rFont val="Calibri"/>
        <family val="2"/>
        <scheme val="minor"/>
      </rPr>
      <t xml:space="preserve"> Required for Applicant Withdrawals)</t>
    </r>
  </si>
  <si>
    <r>
      <t xml:space="preserve">SBA Qualification </t>
    </r>
    <r>
      <rPr>
        <sz val="11"/>
        <color theme="0"/>
        <rFont val="Calibri"/>
        <family val="2"/>
        <scheme val="minor"/>
      </rPr>
      <t>(Small Business Only)</t>
    </r>
  </si>
  <si>
    <t>COVID-19 Revenue Impact Qualification</t>
  </si>
  <si>
    <t>Revenue Impact Qualified</t>
  </si>
  <si>
    <t>QUALIFIED_REVENUE_IMPACT_FLAG</t>
  </si>
  <si>
    <t>REVENUE_2019_AMT</t>
  </si>
  <si>
    <t>REVENUE_2020_AMT</t>
  </si>
  <si>
    <t>REVENUE_PCT_CHANGE</t>
  </si>
  <si>
    <t>REVENUE_DECLINE_THRESHOLD_ELIGIBILITY</t>
  </si>
  <si>
    <t>% Revenue Decline</t>
  </si>
  <si>
    <t>NP_ANNUAL_OPBUDGET_THRESHOLD_ELIGIBILITY</t>
  </si>
  <si>
    <r>
      <t>Annual Operating Budget</t>
    </r>
    <r>
      <rPr>
        <b/>
        <sz val="10"/>
        <color rgb="FFFF0000"/>
        <rFont val="Calibri"/>
        <family val="2"/>
        <scheme val="minor"/>
      </rPr>
      <t xml:space="preserve"> *</t>
    </r>
  </si>
  <si>
    <t>NP_ANNUAL_OP_BUDGET</t>
  </si>
  <si>
    <t>Non-Profit Qualification</t>
  </si>
  <si>
    <t>Operating Budget Qualified</t>
  </si>
  <si>
    <t>NP_ANNUAL_OP_BUDGET_QUALIFIED_FLAG</t>
  </si>
  <si>
    <t>This section must be hidden prior to release, and is only available to internal FHLBNY staff once worksheet is unlocked.</t>
  </si>
  <si>
    <t>New Jersey</t>
  </si>
  <si>
    <t>Puerto Rico / USVI</t>
  </si>
  <si>
    <t>Non-Profit or Tribal Land Flag</t>
  </si>
  <si>
    <t>PR/USVI Flag</t>
  </si>
  <si>
    <t>PR_OR_USVI_FLAG</t>
  </si>
  <si>
    <t>Net Requested</t>
  </si>
  <si>
    <t>All Regions</t>
  </si>
  <si>
    <t>Non-Profits / Tribal Land</t>
  </si>
  <si>
    <t>Small Business*</t>
  </si>
  <si>
    <t>Totals:</t>
  </si>
  <si>
    <r>
      <t xml:space="preserve">* Includes small businesses </t>
    </r>
    <r>
      <rPr>
        <i/>
        <u/>
        <sz val="10"/>
        <color theme="1"/>
        <rFont val="Calibri"/>
        <family val="2"/>
        <scheme val="minor"/>
      </rPr>
      <t>not</t>
    </r>
    <r>
      <rPr>
        <i/>
        <sz val="10"/>
        <color theme="1"/>
        <rFont val="Calibri"/>
        <family val="2"/>
        <scheme val="minor"/>
      </rPr>
      <t xml:space="preserve"> located on Tribal Land</t>
    </r>
  </si>
  <si>
    <t>REVENUE_2019_PERIOD_START</t>
  </si>
  <si>
    <t>REVENUE_2020_PERIOD_START</t>
  </si>
  <si>
    <r>
      <t xml:space="preserve">COVID-19 Small Business Recovery Grant Program: </t>
    </r>
    <r>
      <rPr>
        <sz val="11"/>
        <color theme="0"/>
        <rFont val="Calibri"/>
        <family val="2"/>
        <scheme val="minor"/>
      </rPr>
      <t>Application and Funding Request Form (DRP-104)</t>
    </r>
  </si>
  <si>
    <r>
      <t xml:space="preserve">COVID-19 Small Business Recovery Grant Program: </t>
    </r>
    <r>
      <rPr>
        <sz val="11"/>
        <color theme="0"/>
        <rFont val="Calibri"/>
        <family val="2"/>
        <scheme val="minor"/>
      </rPr>
      <t>Application and Funding Request Form (DRP-104) - Instructions</t>
    </r>
  </si>
  <si>
    <r>
      <t xml:space="preserve">For organizations applying to the FHLBNY COVID-19 Small Business Recovery Grant Program (“C-SBRG”), this COVID-19 Small Business Recovery Grant Application and Funding Request Form (DRP-104) must be completed and submitted by an authorized Member representative to the FHLBNY. The form must be fully completed and submitted to the FHLBNY in excel format via e-mail to </t>
    </r>
    <r>
      <rPr>
        <b/>
        <u/>
        <sz val="11"/>
        <color theme="3"/>
        <rFont val="Calibri"/>
        <family val="2"/>
        <scheme val="minor"/>
      </rPr>
      <t>DisasterRecovery@fhlbny.com</t>
    </r>
    <r>
      <rPr>
        <sz val="11"/>
        <color theme="1"/>
        <rFont val="Calibri"/>
        <family val="2"/>
        <scheme val="minor"/>
      </rPr>
      <t xml:space="preserve">. </t>
    </r>
  </si>
  <si>
    <t xml:space="preserve">The COVID-19 Small Business Recovery Grant Application and Funding Request Form must be completed in its entirety. Clarification regarding certain fields are outlined below: </t>
  </si>
  <si>
    <t>The following fields have dropdown selections: Organization Type, State, County / Municipality, Tribal Land, Funding Type, Funding Leverage, Repeat Applicant, Operational Statue, Ownership Structure, Tax ID Type, Eligibility Basis</t>
  </si>
  <si>
    <t xml:space="preserve">Application Date: Must be the date this Application and Funding Request Form is submitted to the FHLBNY via e-mail. </t>
  </si>
  <si>
    <t xml:space="preserve">Address, City, State, Zip code, County / Municipality: Reflect the organization’s primary place of operation. Do not use US Postal Service box number as the organization’s address. </t>
  </si>
  <si>
    <t xml:space="preserve">Amount Requested: Enter the amount of grant funds requested by the Organization, up to $10,000 per organization.  Requested amount of funds must be in increments of $100 (example $4,000, $5,100, $10,000). In the event of a partial or a full withdrawal of a grant for a previously approved organization, enter the amount of the grant funds to be returned to the FHLBNY (as a negative number). The amount of returned funds will be reflected under the “Returned Funds” section in the Funding Request Summary. </t>
  </si>
  <si>
    <t xml:space="preserve">Proposed Use of Funds: Examples of eligible uses include personnel costs related to COVID-19, equipment to comply with public health measures designed to slow the spread of COVID-19, working capital, payment on existing or new debt so the organization can support its employees and/or its continued operations. Please refer to the COVID-19 Small Business Recovery Grant Member Guidelines document for further details on eligible uses of funds. The Guidelines can be found on the Bank’s website, under the Community tab. </t>
  </si>
  <si>
    <t xml:space="preserve">Repeat Applicant: Has the applicant applied for a COVID-19 Small Business Recovery Grant with another FHLBNY member institution? Has the owner of the organization applied or received this grant for another business that they own? Under the Program Guidelines, Members must take reasonable measures to ensure that the applicant has not received or applied for a C-SBRG through another Member. </t>
  </si>
  <si>
    <t xml:space="preserve">Operational Status: What is the organization’s operating status at the time of applying for the grant? </t>
  </si>
  <si>
    <t xml:space="preserve">Description of the Organization:  Please provide a brief description of the small business / non-profit. </t>
  </si>
  <si>
    <r>
      <t xml:space="preserve">NAICS Code: Indicate the North American Industry Classification System (NAICS) Code for the small business.  A list of current NAICS Codes can be located at 
</t>
    </r>
    <r>
      <rPr>
        <b/>
        <u/>
        <sz val="11"/>
        <color theme="3"/>
        <rFont val="Calibri"/>
        <family val="2"/>
        <scheme val="minor"/>
      </rPr>
      <t xml:space="preserve">https://www.census.gov/eos/www/naics/2017NAICS/2017_NAICS_Manual.pdf </t>
    </r>
  </si>
  <si>
    <r>
      <t xml:space="preserve">SBA Qualifying Data: Small business applicants are required to meet the definition of a small business based on Small Business Association (“SBA”) guidelines. Based on the type of business, size standards will be determined by annual receipts or number of employees. The ‘Table of Small Business Size Standards’ can be found at the following link: 
</t>
    </r>
    <r>
      <rPr>
        <b/>
        <u/>
        <sz val="11"/>
        <color theme="3"/>
        <rFont val="Calibri"/>
        <family val="2"/>
        <scheme val="minor"/>
      </rPr>
      <t>http://www.sba.gov/content/small-business-size-standards.</t>
    </r>
  </si>
  <si>
    <t xml:space="preserve">Non-Profit Qualification: Based on the C-SBRG Member Guidelines, non-profits are required to have an operating budget under $20,000,000 in order to qualify for the program. </t>
  </si>
  <si>
    <t xml:space="preserve">COVID-19 Revenue Impact Qualification: </t>
  </si>
  <si>
    <t xml:space="preserve">Please check the ‘Input Summary’ section to ensure completion of all required fields. Incomplete forms cannot be processed and will be returned to the Member.  If further clarification or corrections to the C-19 SBRG AFRF are required, Members are required to resolve all outstanding issues within 7 business days. </t>
  </si>
  <si>
    <t xml:space="preserve">Please ensure you have completed the Member Certification &amp; Sign Off section before submitting the Funding Form.   C-19 SBRG AFRF must be executed by one of the three designated Member representatives. </t>
  </si>
  <si>
    <r>
      <t xml:space="preserve">The COVID-19 Small Business Recovery Grant Application and Funding Request Form must be submitted to the FHLBNY by an authorized Member representative via e-mail to </t>
    </r>
    <r>
      <rPr>
        <b/>
        <u/>
        <sz val="11"/>
        <color theme="3"/>
        <rFont val="Calibri"/>
        <family val="2"/>
        <scheme val="minor"/>
      </rPr>
      <t>DisasterRecovery@fhlbny.com</t>
    </r>
    <r>
      <rPr>
        <sz val="11"/>
        <color theme="1"/>
        <rFont val="Calibri"/>
        <family val="2"/>
        <scheme val="minor"/>
      </rPr>
      <t xml:space="preserve">.  
</t>
    </r>
    <r>
      <rPr>
        <b/>
        <sz val="11"/>
        <color theme="1"/>
        <rFont val="Calibri"/>
        <family val="2"/>
        <scheme val="minor"/>
      </rPr>
      <t xml:space="preserve">The Supporting documentation used by the Member to qualify the applicants should be maintained by the Member and </t>
    </r>
    <r>
      <rPr>
        <b/>
        <u/>
        <sz val="11"/>
        <color theme="1"/>
        <rFont val="Calibri"/>
        <family val="2"/>
        <scheme val="minor"/>
      </rPr>
      <t>should not</t>
    </r>
    <r>
      <rPr>
        <b/>
        <sz val="11"/>
        <color theme="1"/>
        <rFont val="Calibri"/>
        <family val="2"/>
        <scheme val="minor"/>
      </rPr>
      <t xml:space="preserve"> be submitted to the FHLBNY.</t>
    </r>
    <r>
      <rPr>
        <sz val="11"/>
        <color theme="1"/>
        <rFont val="Calibri"/>
        <family val="2"/>
        <scheme val="minor"/>
      </rPr>
      <t xml:space="preserve"> 
Any questions regarding the completion of the form should be directed via e-mail to </t>
    </r>
    <r>
      <rPr>
        <b/>
        <u/>
        <sz val="11"/>
        <color theme="3"/>
        <rFont val="Calibri"/>
        <family val="2"/>
        <scheme val="minor"/>
      </rPr>
      <t>DisasterRecovery@fhlbny.com</t>
    </r>
    <r>
      <rPr>
        <sz val="11"/>
        <color theme="1"/>
        <rFont val="Calibri"/>
        <family val="2"/>
        <scheme val="minor"/>
      </rPr>
      <t xml:space="preserve">.  </t>
    </r>
  </si>
  <si>
    <t>○</t>
  </si>
  <si>
    <t>EUC Documentation</t>
  </si>
  <si>
    <t>File Name and Location of Master Copy</t>
  </si>
  <si>
    <t>COVID-19 SBRG Application and Funding Request Form 
J:\EUC Central Repository\Community Investment\DRP</t>
  </si>
  <si>
    <t>EUC  Owner</t>
  </si>
  <si>
    <t xml:space="preserve">Nina Demushkina </t>
  </si>
  <si>
    <t>EUC Classification (select one):</t>
  </si>
  <si>
    <t xml:space="preserve">SOX </t>
  </si>
  <si>
    <t>Critical &amp; Significant</t>
  </si>
  <si>
    <t>Other</t>
  </si>
  <si>
    <t>EUC Impact on the Bank (select one):</t>
  </si>
  <si>
    <t xml:space="preserve">Has Impact  </t>
  </si>
  <si>
    <t>No Impact</t>
  </si>
  <si>
    <t>Purpose / Business Objectives:</t>
  </si>
  <si>
    <t>Frequency of Update:</t>
  </si>
  <si>
    <t xml:space="preserve">Ad Hoc </t>
  </si>
  <si>
    <t>EUC Input(s):</t>
  </si>
  <si>
    <t>Data mannualy entered into the excel file by the Member</t>
  </si>
  <si>
    <t>EUC Output(s):</t>
  </si>
  <si>
    <t xml:space="preserve">Output imported into the SBRG Database tracking tool (excel file) </t>
  </si>
  <si>
    <t>Version Control:</t>
  </si>
  <si>
    <t>N/A</t>
  </si>
  <si>
    <t>Data Integrity:</t>
  </si>
  <si>
    <t>Access Control:</t>
  </si>
  <si>
    <t xml:space="preserve">The file is password protected.  Community Investment team has access to the file password. </t>
  </si>
  <si>
    <t>Link(s) to Other Workbook(s):</t>
  </si>
  <si>
    <t>Comments:</t>
  </si>
  <si>
    <t>Change Control</t>
  </si>
  <si>
    <t>Change Made by</t>
  </si>
  <si>
    <t>Date of Change</t>
  </si>
  <si>
    <t>Approved (Y/N)</t>
  </si>
  <si>
    <t>Date of Approval</t>
  </si>
  <si>
    <t>Name of Approver</t>
  </si>
  <si>
    <t>Tappan Technologies, LLC</t>
  </si>
  <si>
    <t>[VERSION 0.0.1] 
1st Prototype (using prior DR SBRG AFRF as baseline, updated per new requirements &amp; discussions on COVID-19 DR program rollout)</t>
  </si>
  <si>
    <t>[VERSION 0.0.2] 
Includes changes requested on 4/20/2020 resulting from review of version 0.0.1</t>
  </si>
  <si>
    <t>[VERSION 0.0.3] 
Minor changes resulting from review of v.0.0.2</t>
  </si>
  <si>
    <t>[VERSION 0.0.4] 
Edits &amp; bug fixes resulting from UAT of 0.0.3. Updated Instructions tab verbiage based on new verbiage provided.</t>
  </si>
  <si>
    <r>
      <t xml:space="preserve">Title </t>
    </r>
    <r>
      <rPr>
        <b/>
        <sz val="10"/>
        <color rgb="FFFF0000"/>
        <rFont val="Calibri"/>
        <family val="2"/>
        <scheme val="minor"/>
      </rPr>
      <t>*</t>
    </r>
  </si>
  <si>
    <t>[VERSION 1.0.0] 
Minor updates resulting from UAT of 0.0.4. Anticipated first production release.</t>
  </si>
  <si>
    <t>Comparison Revenue Period Start Date</t>
  </si>
  <si>
    <t>[VERSION 2.0.0]
Updates to support 2021 SBRG Offering (Instructions verbiage updates, revenue period lookback label changes &amp; date restrictions)</t>
  </si>
  <si>
    <t xml:space="preserve">The undersigned acknowledges that: 
(1) the Member shall comply with the requirements of the Federal Home Loan Bank of New York’s (“FHLBNY”) COVID-19 Small Business Recovery Grant Program Member Guidelines now in effect, dated February 2021, or as amended (“Guidelines”);
(2) the FHLBNY may deny or recover the grant if the FHLBNY discovers that (i) the small business or non-profit does not meet the requirements of the Guidelines, or (ii) the Member provided false, misleading or incomplete information; and 
(3) nothing contained in the Guidelines or this COVID-19 Small Business Recovery Grant Program Application and Funding Request (“Application”) will be construed as an agreement or commitment on the part of FHLBNY to provide a grant to the Member.  
(4) small businesses and non-profit organizations that previously received funding from any Member under the SBRG program are prohibited from receiving any additional funds under this program round.   
The undersigned certifies that the information contained in this Application is true and accurate.
</t>
  </si>
  <si>
    <t>[VERSION 2.1.0]
Updates to support September 2021 SBRG Offering (Instrucitons verbiage updates, revenue period label &amp; field changes)</t>
  </si>
  <si>
    <r>
      <t>2019 Annual   Revenue</t>
    </r>
    <r>
      <rPr>
        <sz val="10"/>
        <color rgb="FFC00000"/>
        <rFont val="Calibri"/>
        <family val="2"/>
        <scheme val="minor"/>
      </rPr>
      <t xml:space="preserve"> *</t>
    </r>
  </si>
  <si>
    <r>
      <t>2020 Annual    Revenue</t>
    </r>
    <r>
      <rPr>
        <sz val="10"/>
        <color rgb="FFC00000"/>
        <rFont val="Calibri"/>
        <family val="2"/>
        <scheme val="minor"/>
      </rPr>
      <t xml:space="preserve"> *</t>
    </r>
  </si>
  <si>
    <t>Pre-COVID Revenue Period Start Date</t>
  </si>
  <si>
    <t>2019 Annual Revenue: Please enter 2019 total revenue.</t>
  </si>
  <si>
    <t>2020 Annual Revenue: Please enter 2020 total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</si>
</sst>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00000"/>
    <numFmt numFmtId="166" formatCode="@\ *."/>
    <numFmt numFmtId="167" formatCode="mm/dd/yy;@"/>
    <numFmt numFmtId="168" formatCode="0.000%"/>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12"/>
      <color theme="0"/>
      <name val="Calibri"/>
      <family val="2"/>
      <scheme val="minor"/>
    </font>
    <font>
      <i/>
      <sz val="10"/>
      <name val="Calibri"/>
      <family val="2"/>
      <scheme val="minor"/>
    </font>
    <font>
      <i/>
      <sz val="10"/>
      <color rgb="FFC00000"/>
      <name val="Calibri"/>
      <family val="2"/>
      <scheme val="minor"/>
    </font>
    <font>
      <sz val="11"/>
      <name val="Calibri"/>
      <family val="2"/>
      <scheme val="minor"/>
    </font>
    <font>
      <sz val="10"/>
      <color rgb="FFC00000"/>
      <name val="Calibri"/>
      <family val="2"/>
      <scheme val="minor"/>
    </font>
    <font>
      <i/>
      <sz val="12"/>
      <color theme="0"/>
      <name val="Calibri"/>
      <family val="2"/>
      <scheme val="minor"/>
    </font>
    <font>
      <b/>
      <sz val="10"/>
      <color theme="0"/>
      <name val="Calibri"/>
      <family val="2"/>
      <scheme val="minor"/>
    </font>
    <font>
      <b/>
      <sz val="10"/>
      <color rgb="FFFF0000"/>
      <name val="Calibri"/>
      <family val="2"/>
      <scheme val="minor"/>
    </font>
    <font>
      <i/>
      <sz val="10"/>
      <color theme="1"/>
      <name val="Calibri"/>
      <family val="2"/>
      <scheme val="minor"/>
    </font>
    <font>
      <b/>
      <sz val="10"/>
      <color rgb="FFC00000"/>
      <name val="Calibri"/>
      <family val="2"/>
      <scheme val="minor"/>
    </font>
    <font>
      <u/>
      <sz val="11"/>
      <color theme="0"/>
      <name val="Calibri"/>
      <family val="2"/>
      <scheme val="minor"/>
    </font>
    <font>
      <sz val="10"/>
      <color theme="1"/>
      <name val="Calibri"/>
      <family val="2"/>
      <scheme val="minor"/>
    </font>
    <font>
      <b/>
      <sz val="12"/>
      <name val="Calibri"/>
      <family val="2"/>
      <scheme val="minor"/>
    </font>
    <font>
      <sz val="10"/>
      <color rgb="FFFF0000"/>
      <name val="Calibri"/>
      <family val="2"/>
      <scheme val="minor"/>
    </font>
    <font>
      <sz val="10"/>
      <name val="Calibri"/>
      <family val="2"/>
      <scheme val="minor"/>
    </font>
    <font>
      <sz val="10"/>
      <color theme="0"/>
      <name val="Calibri"/>
      <family val="2"/>
      <scheme val="minor"/>
    </font>
    <font>
      <b/>
      <u/>
      <sz val="10"/>
      <color theme="1"/>
      <name val="Calibri"/>
      <family val="2"/>
      <scheme val="minor"/>
    </font>
    <font>
      <b/>
      <sz val="10"/>
      <name val="Calibri"/>
      <family val="2"/>
      <scheme val="minor"/>
    </font>
    <font>
      <b/>
      <u/>
      <sz val="10"/>
      <color theme="4" tint="-0.249977111117893"/>
      <name val="Calibri"/>
      <family val="2"/>
      <scheme val="minor"/>
    </font>
    <font>
      <sz val="11"/>
      <color theme="1"/>
      <name val="Calibri"/>
      <family val="2"/>
    </font>
    <font>
      <b/>
      <u/>
      <sz val="11"/>
      <color theme="3"/>
      <name val="Calibri"/>
      <family val="2"/>
      <scheme val="minor"/>
    </font>
    <font>
      <sz val="8"/>
      <name val="Calibri"/>
      <family val="2"/>
      <scheme val="minor"/>
    </font>
    <font>
      <i/>
      <u/>
      <sz val="10"/>
      <color theme="1"/>
      <name val="Calibri"/>
      <family val="2"/>
      <scheme val="minor"/>
    </font>
    <font>
      <b/>
      <sz val="11"/>
      <color theme="1"/>
      <name val="Calibri"/>
      <family val="2"/>
      <scheme val="minor"/>
    </font>
    <font>
      <b/>
      <u/>
      <sz val="11"/>
      <color theme="1"/>
      <name val="Calibri"/>
      <family val="2"/>
      <scheme val="minor"/>
    </font>
    <font>
      <sz val="10"/>
      <name val="Arial"/>
      <family val="2"/>
    </font>
    <font>
      <u/>
      <sz val="10"/>
      <color indexed="12"/>
      <name val="Arial"/>
      <family val="2"/>
    </font>
    <font>
      <sz val="11"/>
      <color indexed="12"/>
      <name val="Calibri"/>
      <family val="2"/>
    </font>
    <font>
      <u/>
      <sz val="11"/>
      <color theme="10"/>
      <name val="Calibri"/>
      <family val="2"/>
    </font>
  </fonts>
  <fills count="24">
    <fill>
      <patternFill patternType="none"/>
    </fill>
    <fill>
      <patternFill patternType="gray125"/>
    </fill>
    <fill>
      <patternFill patternType="solid">
        <fgColor rgb="FF00305E"/>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CE6F2"/>
        <bgColor indexed="64"/>
      </patternFill>
    </fill>
    <fill>
      <patternFill patternType="solid">
        <fgColor rgb="FFFFFFCC"/>
        <bgColor indexed="64"/>
      </patternFill>
    </fill>
    <fill>
      <patternFill patternType="solid">
        <fgColor theme="0" tint="-0.249977111117893"/>
        <bgColor indexed="64"/>
      </patternFill>
    </fill>
    <fill>
      <patternFill patternType="solid">
        <fgColor theme="5"/>
        <bgColor theme="5"/>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34998626667073579"/>
        <bgColor indexed="64"/>
      </patternFill>
    </fill>
  </fills>
  <borders count="55">
    <border>
      <left/>
      <right/>
      <top/>
      <bottom/>
      <diagonal/>
    </border>
    <border>
      <left/>
      <right/>
      <top/>
      <bottom style="medium">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0"/>
      </bottom>
      <diagonal/>
    </border>
    <border>
      <left/>
      <right/>
      <top/>
      <bottom style="thin">
        <color theme="0"/>
      </bottom>
      <diagonal/>
    </border>
    <border>
      <left style="thin">
        <color indexed="64"/>
      </left>
      <right style="thin">
        <color indexed="64"/>
      </right>
      <top/>
      <bottom style="medium">
        <color indexed="64"/>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0"/>
      </left>
      <right/>
      <top style="thin">
        <color indexed="64"/>
      </top>
      <bottom style="thin">
        <color indexed="64"/>
      </bottom>
      <diagonal/>
    </border>
    <border>
      <left/>
      <right style="medium">
        <color theme="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theme="0"/>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theme="1" tint="0.34998626667073579"/>
      </right>
      <top style="thin">
        <color indexed="64"/>
      </top>
      <bottom style="thin">
        <color indexed="64"/>
      </bottom>
      <diagonal/>
    </border>
    <border>
      <left/>
      <right style="thin">
        <color indexed="64"/>
      </right>
      <top/>
      <bottom style="medium">
        <color indexed="64"/>
      </bottom>
      <diagonal/>
    </border>
    <border>
      <left style="thin">
        <color indexed="64"/>
      </left>
      <right style="hair">
        <color theme="1" tint="0.34998626667073579"/>
      </right>
      <top style="thin">
        <color indexed="64"/>
      </top>
      <bottom style="medium">
        <color indexed="64"/>
      </bottom>
      <diagonal/>
    </border>
    <border>
      <left style="thin">
        <color indexed="64"/>
      </left>
      <right style="hair">
        <color theme="1" tint="0.34998626667073579"/>
      </right>
      <top/>
      <bottom style="medium">
        <color indexed="64"/>
      </bottom>
      <diagonal/>
    </border>
    <border>
      <left style="thin">
        <color indexed="64"/>
      </left>
      <right style="hair">
        <color theme="1" tint="0.34998626667073579"/>
      </right>
      <top/>
      <bottom style="thin">
        <color indexed="64"/>
      </bottom>
      <diagonal/>
    </border>
    <border>
      <left style="thin">
        <color indexed="64"/>
      </left>
      <right style="hair">
        <color theme="1" tint="0.499984740745262"/>
      </right>
      <top style="thin">
        <color indexed="64"/>
      </top>
      <bottom style="thin">
        <color indexed="64"/>
      </bottom>
      <diagonal/>
    </border>
    <border>
      <left style="thin">
        <color indexed="64"/>
      </left>
      <right style="hair">
        <color theme="1" tint="0.499984740745262"/>
      </right>
      <top style="thin">
        <color indexed="64"/>
      </top>
      <bottom style="medium">
        <color indexed="64"/>
      </bottom>
      <diagonal/>
    </border>
    <border>
      <left style="thin">
        <color indexed="64"/>
      </left>
      <right style="hair">
        <color theme="1" tint="0.499984740745262"/>
      </right>
      <top/>
      <bottom style="medium">
        <color indexed="64"/>
      </bottom>
      <diagonal/>
    </border>
    <border>
      <left style="thin">
        <color indexed="64"/>
      </left>
      <right style="hair">
        <color theme="1" tint="0.499984740745262"/>
      </right>
      <top/>
      <bottom style="thin">
        <color indexed="64"/>
      </bottom>
      <diagonal/>
    </border>
    <border>
      <left style="medium">
        <color theme="0"/>
      </left>
      <right/>
      <top/>
      <bottom/>
      <diagonal/>
    </border>
    <border>
      <left/>
      <right style="medium">
        <color theme="0"/>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theme="0"/>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theme="0"/>
      </right>
      <top style="thin">
        <color theme="0"/>
      </top>
      <bottom style="thin">
        <color indexed="64"/>
      </bottom>
      <diagonal/>
    </border>
    <border>
      <left style="thin">
        <color theme="0" tint="-0.499984740745262"/>
      </left>
      <right/>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xf numFmtId="0" fontId="33" fillId="0" borderId="0" applyNumberFormat="0" applyFill="0" applyBorder="0" applyAlignment="0" applyProtection="0">
      <alignment vertical="top"/>
      <protection locked="0"/>
    </xf>
  </cellStyleXfs>
  <cellXfs count="264">
    <xf numFmtId="0" fontId="0" fillId="0" borderId="0" xfId="0"/>
    <xf numFmtId="0" fontId="7" fillId="2"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0" fillId="0" borderId="0" xfId="0" applyFont="1" applyFill="1" applyProtection="1"/>
    <xf numFmtId="0" fontId="0" fillId="0" borderId="0" xfId="0" applyFont="1" applyFill="1" applyBorder="1" applyProtection="1"/>
    <xf numFmtId="0" fontId="2" fillId="0" borderId="0" xfId="0" applyFont="1" applyFill="1" applyBorder="1" applyAlignment="1" applyProtection="1">
      <alignment horizontal="left" vertical="center"/>
    </xf>
    <xf numFmtId="0" fontId="7" fillId="3" borderId="1" xfId="0" applyFont="1" applyFill="1" applyBorder="1" applyAlignment="1" applyProtection="1">
      <alignment vertical="center"/>
    </xf>
    <xf numFmtId="0" fontId="7" fillId="0" borderId="0" xfId="0" applyFont="1" applyFill="1" applyBorder="1" applyAlignment="1" applyProtection="1">
      <alignment vertical="center"/>
    </xf>
    <xf numFmtId="0" fontId="12" fillId="3" borderId="1" xfId="0" applyFont="1" applyFill="1" applyBorder="1" applyAlignment="1" applyProtection="1">
      <alignment horizontal="right" vertical="center"/>
    </xf>
    <xf numFmtId="0" fontId="5" fillId="4" borderId="6" xfId="0" applyNumberFormat="1" applyFont="1" applyFill="1" applyBorder="1" applyAlignment="1">
      <alignment horizontal="center" vertical="center"/>
    </xf>
    <xf numFmtId="0" fontId="5" fillId="4" borderId="6" xfId="0" applyNumberFormat="1" applyFont="1" applyFill="1" applyBorder="1" applyAlignment="1" applyProtection="1">
      <alignment horizontal="center" vertical="center"/>
      <protection hidden="1"/>
    </xf>
    <xf numFmtId="0" fontId="5" fillId="8" borderId="6" xfId="0" applyNumberFormat="1" applyFont="1" applyFill="1" applyBorder="1" applyAlignment="1">
      <alignment horizontal="center" vertical="center"/>
    </xf>
    <xf numFmtId="0" fontId="5" fillId="8" borderId="6" xfId="0" applyNumberFormat="1" applyFont="1" applyFill="1" applyBorder="1" applyAlignment="1" applyProtection="1">
      <alignment horizontal="center" vertical="center"/>
      <protection hidden="1"/>
    </xf>
    <xf numFmtId="0" fontId="4" fillId="0" borderId="0" xfId="0" applyFont="1"/>
    <xf numFmtId="0" fontId="13" fillId="9" borderId="7" xfId="0" applyFont="1" applyFill="1" applyBorder="1"/>
    <xf numFmtId="0" fontId="0" fillId="11" borderId="8" xfId="0" applyFont="1" applyFill="1" applyBorder="1" applyAlignment="1">
      <alignment horizontal="left"/>
    </xf>
    <xf numFmtId="0" fontId="0" fillId="10" borderId="8" xfId="0" applyFont="1" applyFill="1" applyBorder="1" applyAlignment="1">
      <alignment horizontal="left"/>
    </xf>
    <xf numFmtId="0" fontId="0" fillId="12" borderId="0" xfId="0" applyFill="1"/>
    <xf numFmtId="0" fontId="0" fillId="13" borderId="0" xfId="0" applyFill="1"/>
    <xf numFmtId="0" fontId="5" fillId="10" borderId="0" xfId="0" applyFont="1" applyFill="1"/>
    <xf numFmtId="0" fontId="13" fillId="9" borderId="0" xfId="0" applyFont="1" applyFill="1" applyBorder="1"/>
    <xf numFmtId="3" fontId="0" fillId="10" borderId="8" xfId="0" applyNumberFormat="1" applyFont="1" applyFill="1" applyBorder="1" applyAlignment="1">
      <alignment horizontal="center"/>
    </xf>
    <xf numFmtId="0" fontId="0" fillId="0" borderId="0" xfId="0" applyAlignment="1">
      <alignment horizontal="center"/>
    </xf>
    <xf numFmtId="0" fontId="7" fillId="3"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6" fillId="0" borderId="0" xfId="0" applyFont="1" applyAlignment="1">
      <alignment horizontal="center" vertical="center"/>
    </xf>
    <xf numFmtId="0" fontId="5" fillId="5" borderId="2" xfId="0" applyNumberFormat="1" applyFont="1" applyFill="1" applyBorder="1" applyAlignment="1" applyProtection="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0" xfId="0" applyFont="1" applyAlignment="1">
      <alignment vertical="center"/>
    </xf>
    <xf numFmtId="0" fontId="5" fillId="0" borderId="0" xfId="0" applyFont="1"/>
    <xf numFmtId="0" fontId="5" fillId="7" borderId="2" xfId="0" applyFont="1" applyFill="1" applyBorder="1" applyAlignment="1" applyProtection="1">
      <alignment horizontal="center" vertical="center"/>
      <protection locked="0"/>
    </xf>
    <xf numFmtId="165" fontId="5" fillId="7" borderId="2" xfId="0" applyNumberFormat="1" applyFont="1" applyFill="1" applyBorder="1" applyAlignment="1" applyProtection="1">
      <alignment horizontal="center" vertical="center"/>
      <protection locked="0"/>
    </xf>
    <xf numFmtId="164" fontId="5" fillId="7" borderId="2" xfId="2" applyNumberFormat="1" applyFont="1" applyFill="1" applyBorder="1" applyAlignment="1" applyProtection="1">
      <alignment vertical="center"/>
      <protection locked="0"/>
    </xf>
    <xf numFmtId="0" fontId="5" fillId="0" borderId="2" xfId="0" applyNumberFormat="1" applyFont="1" applyBorder="1" applyAlignment="1">
      <alignment horizontal="center" vertical="center"/>
    </xf>
    <xf numFmtId="0" fontId="15" fillId="5" borderId="9" xfId="0" applyFont="1" applyFill="1" applyBorder="1" applyAlignment="1">
      <alignment horizontal="center" vertical="center"/>
    </xf>
    <xf numFmtId="0" fontId="5" fillId="5" borderId="9" xfId="0" applyNumberFormat="1" applyFont="1" applyFill="1" applyBorder="1" applyAlignment="1" applyProtection="1">
      <alignment horizontal="center" vertical="center"/>
    </xf>
    <xf numFmtId="0" fontId="5" fillId="0" borderId="9" xfId="0" applyFont="1" applyBorder="1" applyAlignment="1">
      <alignment vertical="center"/>
    </xf>
    <xf numFmtId="0" fontId="5" fillId="0" borderId="9" xfId="0" applyFont="1" applyBorder="1" applyAlignment="1">
      <alignment horizontal="center" vertical="center"/>
    </xf>
    <xf numFmtId="165" fontId="5" fillId="0" borderId="9" xfId="0" applyNumberFormat="1" applyFont="1" applyBorder="1" applyAlignment="1">
      <alignment horizontal="center" vertical="center"/>
    </xf>
    <xf numFmtId="164" fontId="5" fillId="0" borderId="9" xfId="2" applyNumberFormat="1" applyFont="1" applyBorder="1" applyAlignment="1">
      <alignment vertical="center"/>
    </xf>
    <xf numFmtId="3" fontId="10" fillId="0" borderId="0" xfId="1" applyNumberFormat="1" applyFont="1" applyFill="1" applyBorder="1" applyAlignment="1" applyProtection="1">
      <alignment horizontal="center" vertical="center"/>
    </xf>
    <xf numFmtId="0" fontId="18" fillId="4" borderId="6" xfId="0" applyNumberFormat="1" applyFont="1" applyFill="1" applyBorder="1" applyAlignment="1" applyProtection="1">
      <alignment horizontal="center" vertical="center"/>
      <protection hidden="1"/>
    </xf>
    <xf numFmtId="0" fontId="18" fillId="4" borderId="15" xfId="0" applyNumberFormat="1" applyFont="1" applyFill="1" applyBorder="1" applyAlignment="1" applyProtection="1">
      <alignment horizontal="center" vertical="center"/>
      <protection hidden="1"/>
    </xf>
    <xf numFmtId="0" fontId="18" fillId="4" borderId="18" xfId="0" applyNumberFormat="1" applyFont="1" applyFill="1" applyBorder="1" applyAlignment="1" applyProtection="1">
      <alignment horizontal="center" vertical="center"/>
      <protection hidden="1"/>
    </xf>
    <xf numFmtId="0" fontId="18" fillId="4" borderId="19" xfId="0" applyNumberFormat="1" applyFont="1" applyFill="1" applyBorder="1" applyAlignment="1" applyProtection="1">
      <alignment horizontal="center" vertical="center"/>
      <protection hidden="1"/>
    </xf>
    <xf numFmtId="0" fontId="5" fillId="0" borderId="0" xfId="0" applyFont="1" applyFill="1" applyBorder="1" applyProtection="1"/>
    <xf numFmtId="0" fontId="5"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5" fillId="0" borderId="2"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4" fillId="16" borderId="6" xfId="0" applyFont="1" applyFill="1" applyBorder="1" applyAlignment="1" applyProtection="1">
      <alignment horizontal="right" vertical="center"/>
    </xf>
    <xf numFmtId="14" fontId="5" fillId="0" borderId="2"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0" fillId="0" borderId="0" xfId="0" applyProtection="1"/>
    <xf numFmtId="0" fontId="5" fillId="4" borderId="25" xfId="0" applyNumberFormat="1" applyFont="1" applyFill="1" applyBorder="1" applyAlignment="1" applyProtection="1">
      <alignment horizontal="center" vertical="center"/>
      <protection hidden="1"/>
    </xf>
    <xf numFmtId="167" fontId="7" fillId="2" borderId="0" xfId="0" applyNumberFormat="1" applyFont="1" applyFill="1" applyBorder="1" applyAlignment="1" applyProtection="1">
      <alignment vertical="center"/>
    </xf>
    <xf numFmtId="167" fontId="10" fillId="0" borderId="0" xfId="1" applyNumberFormat="1" applyFont="1" applyFill="1" applyBorder="1" applyAlignment="1" applyProtection="1">
      <alignment horizontal="center" vertical="center"/>
    </xf>
    <xf numFmtId="167" fontId="2" fillId="0" borderId="0" xfId="0" applyNumberFormat="1" applyFont="1" applyFill="1" applyBorder="1" applyAlignment="1" applyProtection="1">
      <alignment horizontal="left" vertical="center"/>
    </xf>
    <xf numFmtId="167" fontId="18" fillId="4" borderId="6" xfId="0" applyNumberFormat="1" applyFont="1" applyFill="1" applyBorder="1" applyAlignment="1" applyProtection="1">
      <alignment horizontal="center" vertical="center"/>
      <protection hidden="1"/>
    </xf>
    <xf numFmtId="10" fontId="5" fillId="0" borderId="2" xfId="3" applyNumberFormat="1" applyFont="1" applyBorder="1" applyAlignment="1">
      <alignment horizontal="center" vertical="center"/>
    </xf>
    <xf numFmtId="0" fontId="5" fillId="7" borderId="16" xfId="3" applyNumberFormat="1" applyFont="1" applyFill="1" applyBorder="1" applyAlignment="1" applyProtection="1">
      <alignment horizontal="left" vertical="center" wrapText="1" indent="1"/>
      <protection locked="0"/>
    </xf>
    <xf numFmtId="0" fontId="18" fillId="7" borderId="14" xfId="3" applyNumberFormat="1" applyFont="1" applyFill="1" applyBorder="1" applyAlignment="1" applyProtection="1">
      <alignment horizontal="left" vertical="center" indent="1"/>
      <protection locked="0"/>
    </xf>
    <xf numFmtId="167" fontId="18" fillId="7" borderId="2" xfId="3" applyNumberFormat="1" applyFont="1" applyFill="1" applyBorder="1" applyAlignment="1" applyProtection="1">
      <alignment horizontal="center" vertical="center"/>
      <protection locked="0"/>
    </xf>
    <xf numFmtId="0" fontId="18" fillId="7" borderId="2" xfId="3" applyNumberFormat="1" applyFont="1" applyFill="1" applyBorder="1" applyAlignment="1" applyProtection="1">
      <alignment horizontal="center" vertical="center"/>
      <protection locked="0"/>
    </xf>
    <xf numFmtId="0" fontId="18" fillId="7" borderId="5" xfId="3" applyNumberFormat="1" applyFont="1" applyFill="1" applyBorder="1" applyAlignment="1" applyProtection="1">
      <alignment horizontal="left" vertical="center" indent="1"/>
      <protection locked="0"/>
    </xf>
    <xf numFmtId="0" fontId="18" fillId="7" borderId="2" xfId="3" applyNumberFormat="1" applyFont="1" applyFill="1" applyBorder="1" applyAlignment="1" applyProtection="1">
      <alignment horizontal="left" vertical="center" wrapText="1" indent="1"/>
      <protection locked="0"/>
    </xf>
    <xf numFmtId="0" fontId="2" fillId="17" borderId="3" xfId="0" applyFont="1" applyFill="1" applyBorder="1" applyAlignment="1">
      <alignment vertical="center"/>
    </xf>
    <xf numFmtId="0" fontId="2" fillId="17" borderId="4" xfId="0" applyFont="1" applyFill="1" applyBorder="1" applyAlignment="1">
      <alignment vertical="center"/>
    </xf>
    <xf numFmtId="0" fontId="2" fillId="2" borderId="0"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 xfId="0" applyFont="1" applyFill="1" applyBorder="1" applyAlignment="1" applyProtection="1">
      <alignment vertical="center"/>
    </xf>
    <xf numFmtId="0" fontId="0" fillId="12" borderId="27" xfId="0" applyFill="1" applyBorder="1"/>
    <xf numFmtId="10" fontId="5" fillId="0" borderId="28" xfId="3" applyNumberFormat="1" applyFont="1" applyBorder="1" applyAlignment="1">
      <alignment horizontal="center" vertical="center"/>
    </xf>
    <xf numFmtId="10" fontId="5" fillId="0" borderId="29" xfId="3" applyNumberFormat="1" applyFont="1" applyBorder="1" applyAlignment="1">
      <alignment horizontal="center" vertical="center"/>
    </xf>
    <xf numFmtId="167" fontId="5" fillId="0" borderId="28" xfId="3" applyNumberFormat="1" applyFont="1" applyBorder="1" applyAlignment="1">
      <alignment horizontal="center" vertical="center"/>
    </xf>
    <xf numFmtId="10" fontId="5" fillId="0" borderId="30" xfId="3" applyNumberFormat="1" applyFont="1" applyBorder="1" applyAlignment="1">
      <alignment horizontal="center" vertical="center"/>
    </xf>
    <xf numFmtId="0" fontId="5" fillId="7" borderId="14" xfId="3" applyNumberFormat="1" applyFont="1" applyFill="1" applyBorder="1" applyAlignment="1" applyProtection="1">
      <alignment horizontal="left" vertical="center" indent="1"/>
      <protection locked="0"/>
    </xf>
    <xf numFmtId="0" fontId="5" fillId="7" borderId="5" xfId="3" applyNumberFormat="1" applyFont="1" applyFill="1" applyBorder="1" applyAlignment="1" applyProtection="1">
      <alignment horizontal="left" vertical="center" indent="1"/>
      <protection locked="0"/>
    </xf>
    <xf numFmtId="0" fontId="5" fillId="7" borderId="2" xfId="3" applyNumberFormat="1" applyFont="1" applyFill="1" applyBorder="1" applyAlignment="1" applyProtection="1">
      <alignment horizontal="center" vertical="center"/>
      <protection locked="0"/>
    </xf>
    <xf numFmtId="0" fontId="5" fillId="7" borderId="2" xfId="3" applyNumberFormat="1" applyFont="1" applyFill="1" applyBorder="1" applyAlignment="1" applyProtection="1">
      <alignment horizontal="left" vertical="center" wrapText="1" indent="1"/>
      <protection locked="0"/>
    </xf>
    <xf numFmtId="0" fontId="18" fillId="7" borderId="16" xfId="3" applyNumberFormat="1" applyFont="1" applyFill="1" applyBorder="1" applyAlignment="1" applyProtection="1">
      <alignment horizontal="left" vertical="center" wrapText="1" indent="1"/>
      <protection locked="0"/>
    </xf>
    <xf numFmtId="0" fontId="0" fillId="0" borderId="0" xfId="0" applyFont="1"/>
    <xf numFmtId="14" fontId="0" fillId="11" borderId="8" xfId="0" applyNumberFormat="1" applyFont="1" applyFill="1" applyBorder="1" applyAlignment="1">
      <alignment horizontal="center"/>
    </xf>
    <xf numFmtId="0" fontId="5" fillId="4" borderId="6" xfId="0" applyNumberFormat="1" applyFont="1" applyFill="1" applyBorder="1" applyAlignment="1" applyProtection="1">
      <alignment horizontal="left" vertical="center"/>
      <protection hidden="1"/>
    </xf>
    <xf numFmtId="0" fontId="5" fillId="4" borderId="6" xfId="0" applyNumberFormat="1" applyFont="1" applyFill="1" applyBorder="1" applyAlignment="1" applyProtection="1">
      <alignment horizontal="left" vertical="center" indent="1"/>
      <protection hidden="1"/>
    </xf>
    <xf numFmtId="1" fontId="5" fillId="0" borderId="9" xfId="2" applyNumberFormat="1" applyFont="1" applyBorder="1" applyAlignment="1">
      <alignment horizontal="center" vertical="center"/>
    </xf>
    <xf numFmtId="1" fontId="5" fillId="4" borderId="6" xfId="0" applyNumberFormat="1" applyFont="1" applyFill="1" applyBorder="1" applyAlignment="1" applyProtection="1">
      <alignment horizontal="center" vertical="center"/>
      <protection hidden="1"/>
    </xf>
    <xf numFmtId="1" fontId="5" fillId="7" borderId="2" xfId="0" applyNumberFormat="1" applyFont="1" applyFill="1" applyBorder="1" applyAlignment="1" applyProtection="1">
      <alignment horizontal="center" vertical="center"/>
      <protection locked="0"/>
    </xf>
    <xf numFmtId="0" fontId="4" fillId="6" borderId="17" xfId="0" applyFont="1" applyFill="1" applyBorder="1" applyAlignment="1">
      <alignment horizontal="center" vertical="center" wrapText="1"/>
    </xf>
    <xf numFmtId="164" fontId="5" fillId="0" borderId="32" xfId="2" applyNumberFormat="1" applyFont="1" applyBorder="1" applyAlignment="1">
      <alignment horizontal="center" vertical="center"/>
    </xf>
    <xf numFmtId="164" fontId="5" fillId="4" borderId="18" xfId="2" applyNumberFormat="1" applyFont="1" applyFill="1" applyBorder="1" applyAlignment="1" applyProtection="1">
      <alignment horizontal="left" vertical="center" indent="1"/>
      <protection hidden="1"/>
    </xf>
    <xf numFmtId="164" fontId="5" fillId="4" borderId="35" xfId="2" applyNumberFormat="1" applyFont="1" applyFill="1" applyBorder="1" applyAlignment="1" applyProtection="1">
      <alignment horizontal="left" vertical="center" indent="1"/>
      <protection hidden="1"/>
    </xf>
    <xf numFmtId="164" fontId="5" fillId="5" borderId="31" xfId="2" applyNumberFormat="1" applyFont="1" applyFill="1" applyBorder="1" applyAlignment="1" applyProtection="1">
      <alignment horizontal="left" vertical="center"/>
      <protection locked="0"/>
    </xf>
    <xf numFmtId="164" fontId="5" fillId="5" borderId="31" xfId="2" applyNumberFormat="1" applyFont="1" applyFill="1" applyBorder="1" applyAlignment="1" applyProtection="1">
      <alignment horizontal="left" vertical="center" indent="1"/>
      <protection locked="0"/>
    </xf>
    <xf numFmtId="0" fontId="5" fillId="0" borderId="32" xfId="2" applyNumberFormat="1" applyFont="1" applyBorder="1" applyAlignment="1">
      <alignment horizontal="left" vertical="center" indent="1"/>
    </xf>
    <xf numFmtId="0" fontId="5" fillId="4" borderId="18" xfId="0" applyNumberFormat="1" applyFont="1" applyFill="1" applyBorder="1" applyAlignment="1" applyProtection="1">
      <alignment horizontal="left" vertical="center" indent="1"/>
      <protection hidden="1"/>
    </xf>
    <xf numFmtId="1" fontId="5" fillId="5" borderId="5" xfId="0" applyNumberFormat="1" applyFont="1" applyFill="1" applyBorder="1" applyAlignment="1" applyProtection="1">
      <alignment horizontal="center" vertical="center"/>
      <protection locked="0"/>
    </xf>
    <xf numFmtId="0" fontId="5" fillId="0" borderId="38" xfId="2" applyNumberFormat="1" applyFont="1" applyBorder="1" applyAlignment="1">
      <alignment horizontal="left" vertical="center" indent="1"/>
    </xf>
    <xf numFmtId="0" fontId="5" fillId="4" borderId="39" xfId="0" applyNumberFormat="1" applyFont="1" applyFill="1" applyBorder="1" applyAlignment="1" applyProtection="1">
      <alignment horizontal="left" vertical="center" indent="1"/>
      <protection hidden="1"/>
    </xf>
    <xf numFmtId="1" fontId="5" fillId="5" borderId="36" xfId="0" applyNumberFormat="1" applyFont="1" applyFill="1" applyBorder="1" applyAlignment="1" applyProtection="1">
      <alignment horizontal="center" vertical="center"/>
      <protection locked="0"/>
    </xf>
    <xf numFmtId="164" fontId="5" fillId="0" borderId="34" xfId="2" applyNumberFormat="1" applyFont="1" applyBorder="1" applyAlignment="1">
      <alignment horizontal="left" vertical="center"/>
    </xf>
    <xf numFmtId="1" fontId="5" fillId="7" borderId="2" xfId="2" applyNumberFormat="1" applyFont="1" applyFill="1" applyBorder="1" applyAlignment="1" applyProtection="1">
      <alignment horizontal="center" vertical="center"/>
      <protection locked="0"/>
    </xf>
    <xf numFmtId="0" fontId="13" fillId="14" borderId="40" xfId="0" applyFont="1" applyFill="1" applyBorder="1" applyAlignment="1" applyProtection="1">
      <alignment horizontal="left" vertical="center" indent="1"/>
    </xf>
    <xf numFmtId="0" fontId="13" fillId="14" borderId="41" xfId="0" applyFont="1" applyFill="1" applyBorder="1" applyAlignment="1" applyProtection="1">
      <alignment horizontal="left" vertical="center" indent="1"/>
    </xf>
    <xf numFmtId="164" fontId="5" fillId="5" borderId="5" xfId="2" applyNumberFormat="1" applyFont="1" applyFill="1" applyBorder="1" applyAlignment="1" applyProtection="1">
      <alignment horizontal="left" vertical="center"/>
      <protection locked="0"/>
    </xf>
    <xf numFmtId="0" fontId="4" fillId="6" borderId="37"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5" fillId="7" borderId="2" xfId="0" applyNumberFormat="1" applyFont="1" applyFill="1" applyBorder="1" applyAlignment="1" applyProtection="1">
      <alignment horizontal="center" vertical="center" wrapText="1"/>
      <protection locked="0"/>
    </xf>
    <xf numFmtId="0" fontId="5" fillId="0" borderId="9" xfId="2" applyNumberFormat="1" applyFont="1" applyBorder="1" applyAlignment="1">
      <alignment horizontal="center" vertical="center"/>
    </xf>
    <xf numFmtId="0" fontId="5" fillId="7" borderId="2" xfId="2" applyNumberFormat="1" applyFont="1" applyFill="1" applyBorder="1" applyAlignment="1" applyProtection="1">
      <alignment horizontal="center" vertical="center" wrapText="1"/>
      <protection locked="0"/>
    </xf>
    <xf numFmtId="1" fontId="5" fillId="0" borderId="2" xfId="2" applyNumberFormat="1" applyFont="1" applyFill="1" applyBorder="1" applyAlignment="1" applyProtection="1">
      <alignment horizontal="center" vertical="center"/>
    </xf>
    <xf numFmtId="0" fontId="13" fillId="14" borderId="0" xfId="0" applyFont="1" applyFill="1" applyBorder="1" applyAlignment="1" applyProtection="1">
      <alignment horizontal="left" vertical="center" indent="1"/>
    </xf>
    <xf numFmtId="3" fontId="10" fillId="0" borderId="0" xfId="1" applyNumberFormat="1" applyFont="1" applyFill="1" applyBorder="1" applyAlignment="1" applyProtection="1">
      <alignment horizontal="center" vertical="center"/>
    </xf>
    <xf numFmtId="0" fontId="5" fillId="7" borderId="2" xfId="0" applyFont="1" applyFill="1" applyBorder="1" applyAlignment="1" applyProtection="1">
      <alignment horizontal="left" vertical="center"/>
      <protection locked="0"/>
    </xf>
    <xf numFmtId="0" fontId="5" fillId="0" borderId="9" xfId="0" applyFont="1" applyBorder="1" applyAlignment="1">
      <alignment horizontal="left" vertical="center"/>
    </xf>
    <xf numFmtId="0" fontId="5" fillId="7" borderId="2" xfId="0" applyFont="1" applyFill="1" applyBorder="1" applyAlignment="1" applyProtection="1">
      <alignment horizontal="left" vertical="center" wrapText="1"/>
      <protection locked="0"/>
    </xf>
    <xf numFmtId="0" fontId="5" fillId="0" borderId="9" xfId="2" applyNumberFormat="1" applyFont="1" applyBorder="1" applyAlignment="1">
      <alignment horizontal="left" vertical="center"/>
    </xf>
    <xf numFmtId="0" fontId="5" fillId="7" borderId="2" xfId="2" applyNumberFormat="1" applyFont="1" applyFill="1" applyBorder="1" applyAlignment="1" applyProtection="1">
      <alignment horizontal="left" vertical="center" wrapText="1"/>
      <protection locked="0"/>
    </xf>
    <xf numFmtId="0" fontId="0" fillId="13" borderId="27" xfId="0" applyFill="1" applyBorder="1"/>
    <xf numFmtId="44" fontId="5" fillId="7" borderId="2" xfId="2" applyFont="1" applyFill="1" applyBorder="1" applyAlignment="1" applyProtection="1">
      <alignment horizontal="center" vertical="center" wrapText="1"/>
      <protection locked="0"/>
    </xf>
    <xf numFmtId="44" fontId="5" fillId="7" borderId="2" xfId="2" applyFont="1" applyFill="1" applyBorder="1" applyAlignment="1" applyProtection="1">
      <alignment horizontal="center" vertical="center"/>
      <protection locked="0"/>
    </xf>
    <xf numFmtId="0" fontId="5" fillId="7" borderId="2" xfId="0" applyNumberFormat="1" applyFont="1" applyFill="1" applyBorder="1" applyAlignment="1" applyProtection="1">
      <alignment horizontal="left" vertical="center" wrapText="1"/>
      <protection locked="0"/>
    </xf>
    <xf numFmtId="164" fontId="5" fillId="0" borderId="9" xfId="2" applyNumberFormat="1" applyFont="1" applyBorder="1" applyAlignment="1">
      <alignment horizontal="center" vertical="center"/>
    </xf>
    <xf numFmtId="10" fontId="0" fillId="10" borderId="8" xfId="3" applyNumberFormat="1" applyFont="1" applyFill="1" applyBorder="1" applyAlignment="1">
      <alignment horizontal="center"/>
    </xf>
    <xf numFmtId="0" fontId="5" fillId="20" borderId="2" xfId="0" applyNumberFormat="1" applyFont="1" applyFill="1" applyBorder="1" applyAlignment="1" applyProtection="1">
      <alignment horizontal="center" vertical="center" wrapText="1"/>
    </xf>
    <xf numFmtId="168" fontId="5" fillId="20" borderId="2" xfId="3" applyNumberFormat="1" applyFont="1" applyFill="1" applyBorder="1" applyAlignment="1" applyProtection="1">
      <alignment horizontal="center" vertical="center" wrapText="1"/>
    </xf>
    <xf numFmtId="44" fontId="0" fillId="11" borderId="8" xfId="2" applyFont="1" applyFill="1" applyBorder="1" applyAlignment="1">
      <alignment horizontal="center"/>
    </xf>
    <xf numFmtId="0" fontId="7" fillId="3" borderId="0" xfId="0" applyFont="1" applyFill="1" applyBorder="1" applyAlignment="1" applyProtection="1">
      <alignment horizontal="center" vertical="center"/>
    </xf>
    <xf numFmtId="3" fontId="10" fillId="0" borderId="0" xfId="1" applyNumberFormat="1" applyFont="1" applyFill="1" applyBorder="1" applyAlignment="1" applyProtection="1">
      <alignment horizontal="left" vertical="center"/>
    </xf>
    <xf numFmtId="0" fontId="4" fillId="6" borderId="2" xfId="0" applyFont="1" applyFill="1" applyBorder="1" applyAlignment="1">
      <alignment horizontal="center" vertical="center" wrapText="1"/>
    </xf>
    <xf numFmtId="0" fontId="15" fillId="0" borderId="0" xfId="0" applyFont="1" applyAlignment="1" applyProtection="1">
      <alignment horizontal="left" vertical="center"/>
    </xf>
    <xf numFmtId="44" fontId="4" fillId="5" borderId="6" xfId="2" applyFont="1" applyFill="1" applyBorder="1" applyAlignment="1" applyProtection="1">
      <alignment vertical="center"/>
    </xf>
    <xf numFmtId="44" fontId="5" fillId="0" borderId="2" xfId="2" applyFont="1" applyFill="1" applyBorder="1" applyAlignment="1" applyProtection="1">
      <alignment vertical="center"/>
    </xf>
    <xf numFmtId="44" fontId="4" fillId="5" borderId="2" xfId="2" applyFont="1" applyFill="1" applyBorder="1" applyAlignment="1" applyProtection="1">
      <alignment vertical="center"/>
    </xf>
    <xf numFmtId="44" fontId="5" fillId="0" borderId="48" xfId="2" applyFont="1" applyFill="1" applyBorder="1" applyAlignment="1" applyProtection="1">
      <alignment vertical="center"/>
    </xf>
    <xf numFmtId="44" fontId="4" fillId="5" borderId="48" xfId="2" applyFont="1" applyFill="1" applyBorder="1" applyAlignment="1" applyProtection="1">
      <alignment vertical="center"/>
    </xf>
    <xf numFmtId="44" fontId="5" fillId="0" borderId="49" xfId="2" applyFont="1" applyFill="1" applyBorder="1" applyAlignment="1" applyProtection="1">
      <alignment vertical="center"/>
    </xf>
    <xf numFmtId="44" fontId="4" fillId="5" borderId="49" xfId="2" applyFont="1" applyFill="1" applyBorder="1" applyAlignment="1" applyProtection="1">
      <alignment vertical="center"/>
    </xf>
    <xf numFmtId="44" fontId="5" fillId="0" borderId="6" xfId="2" applyFont="1" applyFill="1" applyBorder="1" applyAlignment="1" applyProtection="1">
      <alignment vertical="center"/>
    </xf>
    <xf numFmtId="44" fontId="5" fillId="0" borderId="26" xfId="2" applyFont="1" applyFill="1" applyBorder="1" applyAlignment="1" applyProtection="1">
      <alignment vertical="center"/>
    </xf>
    <xf numFmtId="44" fontId="4" fillId="5" borderId="26" xfId="2" applyFont="1" applyFill="1" applyBorder="1" applyAlignment="1" applyProtection="1">
      <alignment vertical="center"/>
    </xf>
    <xf numFmtId="14" fontId="5" fillId="0" borderId="9" xfId="2" applyNumberFormat="1" applyFont="1" applyBorder="1" applyAlignment="1">
      <alignment horizontal="center" vertical="center"/>
    </xf>
    <xf numFmtId="14" fontId="5" fillId="20" borderId="2" xfId="2" applyNumberFormat="1" applyFont="1" applyFill="1" applyBorder="1" applyAlignment="1" applyProtection="1">
      <alignment horizontal="center" vertical="center" wrapText="1"/>
    </xf>
    <xf numFmtId="168" fontId="5" fillId="0" borderId="9" xfId="3" applyNumberFormat="1" applyFont="1" applyBorder="1" applyAlignment="1">
      <alignment horizontal="center" vertical="center"/>
    </xf>
    <xf numFmtId="0" fontId="0" fillId="0" borderId="0" xfId="0" applyFont="1" applyFill="1" applyAlignment="1">
      <alignment horizontal="left" vertical="top" wrapText="1"/>
    </xf>
    <xf numFmtId="0" fontId="26" fillId="0" borderId="0" xfId="0" applyFont="1" applyFill="1" applyAlignment="1">
      <alignment horizontal="center" vertical="top"/>
    </xf>
    <xf numFmtId="0" fontId="0" fillId="0" borderId="0" xfId="0" applyFill="1"/>
    <xf numFmtId="0" fontId="30" fillId="22" borderId="3" xfId="4" applyFont="1" applyFill="1" applyBorder="1" applyAlignment="1">
      <alignment wrapText="1"/>
    </xf>
    <xf numFmtId="0" fontId="32" fillId="20" borderId="0" xfId="4" applyFill="1"/>
    <xf numFmtId="0" fontId="30" fillId="23" borderId="2" xfId="4" applyFont="1" applyFill="1" applyBorder="1" applyAlignment="1">
      <alignment vertical="top" wrapText="1"/>
    </xf>
    <xf numFmtId="0" fontId="32" fillId="20" borderId="2" xfId="4" applyFill="1" applyBorder="1" applyAlignment="1">
      <alignment horizontal="center" vertical="center" wrapText="1"/>
    </xf>
    <xf numFmtId="0" fontId="32" fillId="15" borderId="2" xfId="4" applyFill="1" applyBorder="1" applyAlignment="1">
      <alignment horizontal="center" vertical="center"/>
    </xf>
    <xf numFmtId="0" fontId="32" fillId="15" borderId="2" xfId="4" applyFill="1" applyBorder="1" applyAlignment="1">
      <alignment horizontal="center" vertical="center" wrapText="1"/>
    </xf>
    <xf numFmtId="0" fontId="32" fillId="20" borderId="2" xfId="4" applyFill="1" applyBorder="1" applyAlignment="1">
      <alignment horizontal="center" vertical="center"/>
    </xf>
    <xf numFmtId="0" fontId="30" fillId="20" borderId="2" xfId="4" applyFont="1" applyFill="1" applyBorder="1" applyAlignment="1">
      <alignment vertical="top" wrapText="1"/>
    </xf>
    <xf numFmtId="0" fontId="30" fillId="23" borderId="51" xfId="4" applyFont="1" applyFill="1" applyBorder="1" applyAlignment="1">
      <alignment vertical="top" wrapText="1"/>
    </xf>
    <xf numFmtId="0" fontId="32" fillId="8" borderId="6" xfId="4" applyFill="1" applyBorder="1" applyAlignment="1">
      <alignment wrapText="1"/>
    </xf>
    <xf numFmtId="0" fontId="32" fillId="8" borderId="6" xfId="4" applyFill="1" applyBorder="1" applyAlignment="1">
      <alignment horizontal="center" wrapText="1"/>
    </xf>
    <xf numFmtId="0" fontId="32" fillId="20" borderId="0" xfId="4" applyFill="1" applyAlignment="1">
      <alignment wrapText="1"/>
    </xf>
    <xf numFmtId="0" fontId="32" fillId="0" borderId="2" xfId="4" applyBorder="1" applyAlignment="1">
      <alignment vertical="top" wrapText="1"/>
    </xf>
    <xf numFmtId="14" fontId="32" fillId="0" borderId="2" xfId="4" applyNumberFormat="1" applyBorder="1" applyAlignment="1">
      <alignment horizontal="center" vertical="top"/>
    </xf>
    <xf numFmtId="0" fontId="32" fillId="0" borderId="2" xfId="4" applyBorder="1" applyAlignment="1">
      <alignment vertical="top"/>
    </xf>
    <xf numFmtId="14" fontId="32" fillId="0" borderId="2" xfId="4" applyNumberFormat="1" applyBorder="1" applyAlignment="1">
      <alignment vertical="top"/>
    </xf>
    <xf numFmtId="14" fontId="32" fillId="20" borderId="2" xfId="4" applyNumberFormat="1" applyFill="1" applyBorder="1" applyAlignment="1">
      <alignment horizontal="center" vertical="top" wrapText="1"/>
    </xf>
    <xf numFmtId="0" fontId="32" fillId="20" borderId="2" xfId="4" applyFill="1" applyBorder="1" applyAlignment="1">
      <alignment vertical="top"/>
    </xf>
    <xf numFmtId="0" fontId="32" fillId="20" borderId="2" xfId="4" applyFill="1" applyBorder="1" applyAlignment="1">
      <alignment horizontal="left" vertical="top" wrapText="1"/>
    </xf>
    <xf numFmtId="0" fontId="32" fillId="20" borderId="3" xfId="4" applyFill="1" applyBorder="1" applyAlignment="1">
      <alignment vertical="top"/>
    </xf>
    <xf numFmtId="0" fontId="32" fillId="20" borderId="5" xfId="4" applyFill="1" applyBorder="1" applyAlignment="1">
      <alignment vertical="top" wrapText="1"/>
    </xf>
    <xf numFmtId="0" fontId="32" fillId="20" borderId="2" xfId="4" applyFill="1" applyBorder="1" applyAlignment="1">
      <alignment horizontal="center" vertical="top"/>
    </xf>
    <xf numFmtId="14" fontId="32" fillId="20" borderId="2" xfId="4" applyNumberFormat="1" applyFill="1" applyBorder="1" applyAlignment="1">
      <alignment horizontal="center" vertical="top"/>
    </xf>
    <xf numFmtId="0" fontId="32" fillId="20" borderId="5" xfId="4" applyFill="1" applyBorder="1" applyAlignment="1">
      <alignment vertical="top"/>
    </xf>
    <xf numFmtId="0" fontId="32" fillId="20" borderId="2" xfId="4" applyFill="1" applyBorder="1" applyAlignment="1">
      <alignment vertical="top" wrapText="1"/>
    </xf>
    <xf numFmtId="0" fontId="32" fillId="20" borderId="3" xfId="4" applyFill="1" applyBorder="1" applyAlignment="1">
      <alignment vertical="top" wrapText="1"/>
    </xf>
    <xf numFmtId="0" fontId="32" fillId="20" borderId="3" xfId="4" applyFill="1" applyBorder="1" applyAlignment="1">
      <alignment horizontal="left" vertical="top" wrapText="1"/>
    </xf>
    <xf numFmtId="14" fontId="5" fillId="0" borderId="2" xfId="2" applyNumberFormat="1" applyFont="1" applyFill="1" applyBorder="1" applyAlignment="1" applyProtection="1">
      <alignment horizontal="center" vertical="center"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10" fillId="0" borderId="0" xfId="0" applyFont="1" applyFill="1" applyAlignment="1">
      <alignment horizontal="left" vertical="top" wrapText="1"/>
    </xf>
    <xf numFmtId="167" fontId="4" fillId="6" borderId="22" xfId="0" applyNumberFormat="1" applyFont="1" applyFill="1" applyBorder="1" applyAlignment="1">
      <alignment horizontal="center" vertical="center" wrapText="1"/>
    </xf>
    <xf numFmtId="167" fontId="4" fillId="6" borderId="9"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4" fillId="19" borderId="2" xfId="0" applyFont="1" applyFill="1" applyBorder="1" applyAlignment="1">
      <alignment horizontal="center" vertical="center"/>
    </xf>
    <xf numFmtId="0" fontId="15" fillId="4" borderId="2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22" xfId="0" applyFont="1" applyFill="1" applyBorder="1" applyAlignment="1">
      <alignment horizontal="left" vertical="center" wrapText="1" indent="1"/>
    </xf>
    <xf numFmtId="0" fontId="4" fillId="6" borderId="9" xfId="0" applyFont="1" applyFill="1" applyBorder="1" applyAlignment="1">
      <alignment horizontal="left" vertical="center" wrapText="1" indent="1"/>
    </xf>
    <xf numFmtId="0" fontId="5" fillId="0" borderId="49" xfId="0" applyFont="1" applyFill="1" applyBorder="1" applyAlignment="1" applyProtection="1">
      <alignment horizontal="left" vertical="center" indent="1"/>
    </xf>
    <xf numFmtId="0" fontId="5" fillId="0" borderId="48" xfId="0" applyFont="1" applyFill="1" applyBorder="1" applyAlignment="1" applyProtection="1">
      <alignment horizontal="left" vertical="center" indent="1"/>
    </xf>
    <xf numFmtId="0" fontId="5" fillId="0" borderId="26" xfId="0" applyFont="1" applyFill="1" applyBorder="1" applyAlignment="1" applyProtection="1">
      <alignment horizontal="left" vertical="center" indent="1"/>
    </xf>
    <xf numFmtId="0" fontId="4" fillId="5" borderId="6" xfId="0" applyFont="1" applyFill="1" applyBorder="1" applyAlignment="1" applyProtection="1">
      <alignment horizontal="right" vertical="center" indent="1"/>
    </xf>
    <xf numFmtId="0" fontId="2" fillId="17" borderId="3"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21" xfId="0" applyFont="1" applyFill="1" applyBorder="1" applyAlignment="1">
      <alignment horizontal="center" vertical="center"/>
    </xf>
    <xf numFmtId="0" fontId="19" fillId="18" borderId="0"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13" fillId="14"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xf>
    <xf numFmtId="0" fontId="21" fillId="0" borderId="4" xfId="0" applyFont="1" applyFill="1" applyBorder="1" applyAlignment="1" applyProtection="1">
      <alignment horizontal="left" vertical="center"/>
    </xf>
    <xf numFmtId="0" fontId="4" fillId="4" borderId="2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9" xfId="0" applyFont="1" applyFill="1" applyBorder="1" applyAlignment="1">
      <alignment horizontal="center" vertical="center"/>
    </xf>
    <xf numFmtId="166" fontId="5" fillId="0" borderId="0"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 fillId="14" borderId="20" xfId="0" applyFont="1" applyFill="1" applyBorder="1" applyAlignment="1">
      <alignment horizontal="center" vertical="center"/>
    </xf>
    <xf numFmtId="0" fontId="2" fillId="14" borderId="4" xfId="0" applyFont="1" applyFill="1" applyBorder="1" applyAlignment="1">
      <alignment horizontal="center" vertical="center"/>
    </xf>
    <xf numFmtId="0" fontId="2" fillId="14" borderId="21" xfId="0" applyFont="1" applyFill="1" applyBorder="1" applyAlignment="1">
      <alignment horizontal="center" vertical="center"/>
    </xf>
    <xf numFmtId="0" fontId="13" fillId="14" borderId="18" xfId="0" applyFont="1" applyFill="1" applyBorder="1" applyAlignment="1" applyProtection="1">
      <alignment horizontal="center" vertical="center"/>
    </xf>
    <xf numFmtId="0" fontId="4" fillId="0" borderId="2" xfId="0" applyFont="1" applyFill="1" applyBorder="1" applyAlignment="1" applyProtection="1">
      <alignment horizontal="left" vertical="center" indent="1"/>
    </xf>
    <xf numFmtId="0" fontId="4" fillId="0" borderId="48" xfId="0" applyFont="1" applyFill="1" applyBorder="1" applyAlignment="1" applyProtection="1">
      <alignment horizontal="left" vertical="center" indent="1"/>
    </xf>
    <xf numFmtId="0" fontId="4" fillId="0" borderId="49" xfId="0" applyFont="1" applyFill="1" applyBorder="1" applyAlignment="1" applyProtection="1">
      <alignment horizontal="left" vertical="center" indent="1"/>
    </xf>
    <xf numFmtId="0" fontId="4" fillId="0" borderId="26" xfId="0" applyFont="1" applyFill="1" applyBorder="1" applyAlignment="1" applyProtection="1">
      <alignment horizontal="left" vertical="center" indent="1"/>
    </xf>
    <xf numFmtId="0" fontId="4" fillId="5" borderId="6" xfId="0" applyFont="1" applyFill="1" applyBorder="1" applyAlignment="1" applyProtection="1">
      <alignment horizontal="left" vertical="center" indent="1"/>
    </xf>
    <xf numFmtId="3" fontId="21" fillId="0" borderId="2" xfId="1" applyNumberFormat="1" applyFont="1" applyFill="1" applyBorder="1" applyAlignment="1" applyProtection="1">
      <alignment horizontal="center" vertical="center"/>
    </xf>
    <xf numFmtId="0" fontId="19" fillId="15" borderId="0" xfId="0" applyFont="1" applyFill="1" applyBorder="1" applyAlignment="1" applyProtection="1">
      <alignment horizontal="center" vertical="center"/>
    </xf>
    <xf numFmtId="0" fontId="2" fillId="17" borderId="11" xfId="0" applyFont="1" applyFill="1" applyBorder="1" applyAlignment="1">
      <alignment horizontal="center" vertical="center"/>
    </xf>
    <xf numFmtId="0" fontId="2" fillId="17" borderId="10" xfId="0" applyFont="1" applyFill="1" applyBorder="1" applyAlignment="1">
      <alignment horizontal="center" vertical="center"/>
    </xf>
    <xf numFmtId="0" fontId="2" fillId="17" borderId="12" xfId="0" applyFont="1" applyFill="1" applyBorder="1" applyAlignment="1">
      <alignment horizontal="center" vertical="center"/>
    </xf>
    <xf numFmtId="3" fontId="10" fillId="0" borderId="13" xfId="1" applyNumberFormat="1" applyFont="1" applyFill="1" applyBorder="1" applyAlignment="1" applyProtection="1">
      <alignment horizontal="center" vertical="center"/>
    </xf>
    <xf numFmtId="3" fontId="10" fillId="0" borderId="0" xfId="1" applyNumberFormat="1" applyFont="1" applyFill="1" applyBorder="1" applyAlignment="1" applyProtection="1">
      <alignment horizontal="center" vertical="center"/>
    </xf>
    <xf numFmtId="0" fontId="4" fillId="6" borderId="2" xfId="0" applyFont="1" applyFill="1" applyBorder="1" applyAlignment="1">
      <alignment horizontal="center" vertical="center"/>
    </xf>
    <xf numFmtId="0" fontId="5" fillId="7" borderId="2" xfId="0" applyFont="1" applyFill="1" applyBorder="1" applyAlignment="1" applyProtection="1">
      <alignment horizontal="center" vertical="center"/>
      <protection locked="0"/>
    </xf>
    <xf numFmtId="0" fontId="4" fillId="6" borderId="3" xfId="0" applyFont="1" applyFill="1" applyBorder="1" applyAlignment="1">
      <alignment horizontal="center" vertical="center"/>
    </xf>
    <xf numFmtId="0" fontId="4" fillId="6" borderId="5" xfId="0" applyFont="1" applyFill="1" applyBorder="1" applyAlignment="1">
      <alignment horizontal="center" vertical="center"/>
    </xf>
    <xf numFmtId="0" fontId="5" fillId="7" borderId="3"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2" fillId="14" borderId="24" xfId="0" applyFont="1" applyFill="1" applyBorder="1" applyAlignment="1">
      <alignment horizontal="center" vertical="center"/>
    </xf>
    <xf numFmtId="0" fontId="2" fillId="14" borderId="25"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46" xfId="0" applyFont="1" applyFill="1" applyBorder="1" applyAlignment="1">
      <alignment horizontal="center" vertical="center"/>
    </xf>
    <xf numFmtId="0" fontId="2" fillId="14" borderId="47" xfId="0" applyFont="1" applyFill="1" applyBorder="1" applyAlignment="1">
      <alignment horizontal="center" vertical="center"/>
    </xf>
    <xf numFmtId="0" fontId="2" fillId="14" borderId="50" xfId="0" applyFont="1" applyFill="1" applyBorder="1" applyAlignment="1">
      <alignment horizontal="center" vertical="center"/>
    </xf>
    <xf numFmtId="0" fontId="4" fillId="6" borderId="2" xfId="0" applyFont="1" applyFill="1" applyBorder="1" applyAlignment="1" applyProtection="1">
      <alignment horizontal="left" vertical="center" indent="1"/>
    </xf>
    <xf numFmtId="0" fontId="4" fillId="6" borderId="2" xfId="0" applyFont="1" applyFill="1" applyBorder="1" applyAlignment="1">
      <alignment horizontal="left" vertical="center" indent="1"/>
    </xf>
    <xf numFmtId="0" fontId="4" fillId="6" borderId="2" xfId="0" applyFont="1" applyFill="1" applyBorder="1" applyAlignment="1">
      <alignment horizontal="center" vertical="center" wrapText="1"/>
    </xf>
    <xf numFmtId="0" fontId="2" fillId="21" borderId="8" xfId="0" applyFont="1" applyFill="1" applyBorder="1" applyAlignment="1">
      <alignment horizontal="center" vertical="center"/>
    </xf>
    <xf numFmtId="14" fontId="5" fillId="7"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indent="1"/>
    </xf>
    <xf numFmtId="0" fontId="5" fillId="7" borderId="2" xfId="0" applyFont="1" applyFill="1" applyBorder="1" applyAlignment="1" applyProtection="1">
      <alignment horizontal="left" vertical="center" indent="1"/>
      <protection locked="0"/>
    </xf>
    <xf numFmtId="0" fontId="4" fillId="6" borderId="2" xfId="0" applyFont="1" applyFill="1" applyBorder="1" applyAlignment="1">
      <alignment horizontal="left" vertical="center"/>
    </xf>
    <xf numFmtId="0" fontId="21" fillId="0" borderId="2" xfId="0" applyFont="1" applyFill="1" applyBorder="1" applyAlignment="1" applyProtection="1">
      <alignment horizontal="left" vertical="top" wrapText="1"/>
    </xf>
    <xf numFmtId="0" fontId="32" fillId="0" borderId="2" xfId="4" applyBorder="1" applyAlignment="1">
      <alignment horizontal="left" vertical="top" wrapText="1"/>
    </xf>
    <xf numFmtId="0" fontId="32" fillId="20" borderId="3" xfId="4" applyFill="1" applyBorder="1" applyAlignment="1">
      <alignment horizontal="left" vertical="top" wrapText="1"/>
    </xf>
    <xf numFmtId="0" fontId="32" fillId="20" borderId="4" xfId="4" applyFill="1" applyBorder="1" applyAlignment="1">
      <alignment horizontal="left" vertical="top" wrapText="1"/>
    </xf>
    <xf numFmtId="0" fontId="32" fillId="20" borderId="5" xfId="4" applyFill="1" applyBorder="1" applyAlignment="1">
      <alignment horizontal="left" vertical="top" wrapText="1"/>
    </xf>
    <xf numFmtId="0" fontId="30" fillId="22" borderId="4" xfId="4" applyFont="1" applyFill="1" applyBorder="1"/>
    <xf numFmtId="0" fontId="30" fillId="22" borderId="5" xfId="4" applyFont="1" applyFill="1" applyBorder="1"/>
    <xf numFmtId="0" fontId="34" fillId="20" borderId="2" xfId="5" applyFont="1" applyFill="1" applyBorder="1" applyAlignment="1" applyProtection="1">
      <alignment horizontal="left" vertical="top" wrapText="1"/>
    </xf>
    <xf numFmtId="0" fontId="35" fillId="20" borderId="2" xfId="5" applyFont="1" applyFill="1" applyBorder="1" applyAlignment="1" applyProtection="1">
      <alignment horizontal="left" vertical="top" wrapText="1"/>
    </xf>
    <xf numFmtId="0" fontId="30" fillId="23" borderId="52" xfId="4" applyFont="1" applyFill="1" applyBorder="1" applyAlignment="1">
      <alignment horizontal="center"/>
    </xf>
    <xf numFmtId="0" fontId="30" fillId="23" borderId="53" xfId="4" applyFont="1" applyFill="1" applyBorder="1" applyAlignment="1">
      <alignment horizontal="center"/>
    </xf>
    <xf numFmtId="0" fontId="30" fillId="23" borderId="54" xfId="4" applyFont="1" applyFill="1" applyBorder="1" applyAlignment="1">
      <alignment horizontal="center"/>
    </xf>
    <xf numFmtId="0" fontId="32" fillId="8" borderId="6" xfId="4" applyFill="1" applyBorder="1" applyAlignment="1">
      <alignment horizontal="center" wrapText="1"/>
    </xf>
  </cellXfs>
  <cellStyles count="6">
    <cellStyle name="Comma" xfId="1" builtinId="3"/>
    <cellStyle name="Currency" xfId="2" builtinId="4"/>
    <cellStyle name="Hyperlink 2" xfId="5" xr:uid="{F4186164-180F-4973-9BC2-9830F65EE486}"/>
    <cellStyle name="Normal" xfId="0" builtinId="0"/>
    <cellStyle name="Normal 2" xfId="4" xr:uid="{F507F1F3-1BEF-4A97-987F-BDDC44332637}"/>
    <cellStyle name="Percent" xfId="3" builtinId="5"/>
  </cellStyles>
  <dxfs count="91">
    <dxf>
      <font>
        <strike val="0"/>
        <outline val="0"/>
        <shadow val="0"/>
        <u val="none"/>
        <vertAlign val="baseline"/>
        <sz val="10"/>
        <color theme="1"/>
        <name val="Calibri"/>
        <scheme val="minor"/>
      </font>
      <numFmt numFmtId="0" formatCode="General"/>
      <alignment horizontal="center" vertical="center" textRotation="0" wrapText="1" indent="0" justifyLastLine="0" shrinkToFit="0" readingOrder="0"/>
      <protection locked="0" hidden="0"/>
    </dxf>
    <dxf>
      <font>
        <strike val="0"/>
        <outline val="0"/>
        <shadow val="0"/>
        <u val="none"/>
        <vertAlign val="baseline"/>
        <sz val="10"/>
        <color theme="1"/>
        <name val="Calibri"/>
        <scheme val="minor"/>
      </font>
      <numFmt numFmtId="0" formatCode="General"/>
      <alignment vertical="center" textRotation="0" wrapText="0" indent="0" justifyLastLine="0" shrinkToFit="0" readingOrder="0"/>
      <border>
        <right style="thin">
          <color indexed="64"/>
        </right>
      </border>
      <protection locked="0" hidden="0"/>
    </dxf>
    <dxf>
      <font>
        <strike val="0"/>
        <outline val="0"/>
        <shadow val="0"/>
        <u val="none"/>
        <vertAlign val="baseline"/>
        <sz val="10"/>
        <color theme="1"/>
        <name val="Calibri"/>
        <scheme val="minor"/>
      </font>
      <numFmt numFmtId="167" formatCode="mm/dd/yy;@"/>
      <alignment vertical="center" textRotation="0" wrapText="0" indent="0" justifyLastLine="0" shrinkToFit="0" readingOrder="0"/>
      <protection locked="0" hidden="0"/>
    </dxf>
    <dxf>
      <font>
        <strike val="0"/>
        <outline val="0"/>
        <shadow val="0"/>
        <u val="none"/>
        <vertAlign val="baseline"/>
        <sz val="10"/>
        <color theme="1"/>
        <name val="Calibri"/>
        <scheme val="minor"/>
      </font>
      <numFmt numFmtId="0" formatCode="General"/>
      <alignment vertical="center" textRotation="0" wrapText="0" indent="0" justifyLastLine="0" shrinkToFit="0" readingOrder="0"/>
      <border>
        <left style="medium">
          <color indexed="64"/>
        </left>
      </border>
      <protection locked="0" hidden="0"/>
    </dxf>
    <dxf>
      <font>
        <strike val="0"/>
        <outline val="0"/>
        <shadow val="0"/>
        <u val="none"/>
        <vertAlign val="baseline"/>
        <sz val="10"/>
        <color theme="1"/>
        <name val="Calibri"/>
        <scheme val="minor"/>
      </font>
      <numFmt numFmtId="0" formatCode="General"/>
      <alignment horizontal="left" vertical="center" textRotation="0" wrapText="1" indent="0" justifyLastLine="0" shrinkToFit="0" readingOrder="0"/>
      <border diagonalUp="0" diagonalDown="0">
        <left style="thin">
          <color indexed="64"/>
        </left>
        <right style="medium">
          <color indexed="64"/>
        </right>
        <top style="medium">
          <color auto="1"/>
        </top>
        <bottom style="medium">
          <color auto="1"/>
        </bottom>
      </border>
      <protection locked="0" hidden="0"/>
    </dxf>
    <dxf>
      <font>
        <strike val="0"/>
        <outline val="0"/>
        <shadow val="0"/>
        <u val="none"/>
        <vertAlign val="baseline"/>
        <sz val="10"/>
        <color theme="1"/>
        <name val="Calibri"/>
        <scheme val="minor"/>
      </font>
      <numFmt numFmtId="0" formatCode="General"/>
      <alignment vertical="center" textRotation="0" wrapText="0" indent="0" justifyLastLine="0" shrinkToFit="0" readingOrder="0"/>
      <border>
        <right style="thin">
          <color indexed="64"/>
        </right>
      </border>
      <protection locked="0" hidden="0"/>
    </dxf>
    <dxf>
      <font>
        <strike val="0"/>
        <outline val="0"/>
        <shadow val="0"/>
        <u val="none"/>
        <vertAlign val="baseline"/>
        <sz val="10"/>
        <color theme="1"/>
        <name val="Calibri"/>
        <scheme val="minor"/>
      </font>
      <numFmt numFmtId="167" formatCode="mm/dd/yy;@"/>
      <alignment vertical="center" textRotation="0" wrapText="0" indent="0" justifyLastLine="0" shrinkToFit="0" readingOrder="0"/>
      <protection locked="0" hidden="0"/>
    </dxf>
    <dxf>
      <font>
        <strike val="0"/>
        <outline val="0"/>
        <shadow val="0"/>
        <u val="none"/>
        <vertAlign val="baseline"/>
        <sz val="10"/>
        <color theme="1"/>
        <name val="Calibri"/>
        <scheme val="minor"/>
      </font>
      <numFmt numFmtId="0" formatCode="General"/>
      <alignment vertical="center" textRotation="0" wrapText="0"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left" vertical="center" textRotation="0" wrapText="1" indent="1"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168" formatCode="0.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9"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hair">
          <color theme="1" tint="0.499984740745262"/>
        </right>
        <top style="medium">
          <color auto="1"/>
        </top>
        <bottom style="medium">
          <color auto="1"/>
        </bottom>
      </border>
      <protection locked="0" hidden="0"/>
    </dxf>
    <dxf>
      <font>
        <b val="0"/>
        <i val="0"/>
        <strike val="0"/>
        <condense val="0"/>
        <extend val="0"/>
        <outline val="0"/>
        <shadow val="0"/>
        <u val="none"/>
        <vertAlign val="baseline"/>
        <sz val="10"/>
        <color theme="1"/>
        <name val="Calibri"/>
        <scheme val="minor"/>
      </font>
      <numFmt numFmtId="164" formatCode="_(&quot;$&quot;* #,##0_);_(&quot;$&quot;* \(#,##0\);_(&quot;$&quot;* &quot;-&quot;??_);_(@_)"/>
      <fill>
        <patternFill patternType="solid">
          <fgColor indexed="64"/>
          <bgColor theme="0" tint="-4.9989318521683403E-2"/>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64" formatCode="_(&quot;$&quot;* #,##0_);_(&quot;$&quot;* \(#,##0\);_(&quot;$&quot;* &quot;-&quot;??_);_(@_)"/>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indexed="64"/>
        </left>
        <right/>
        <top style="medium">
          <color auto="1"/>
        </top>
        <bottom style="medium">
          <color auto="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left" vertical="center" textRotation="0" wrapText="1" relativeIndent="-1"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left" vertical="center" textRotation="0" wrapText="1" relativeIndent="-1"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scheme val="minor"/>
      </font>
      <numFmt numFmtId="164" formatCode="_(&quot;$&quot;* #,##0_);_(&quot;$&quot;* \(#,##0\);_(&quot;$&quot;* &quot;-&quot;??_);_(@_)"/>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numFmt numFmtId="165" formatCode="00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scheme val="minor"/>
      </font>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0"/>
        <color theme="1"/>
        <name val="Calibri"/>
        <scheme val="minor"/>
      </font>
      <fill>
        <patternFill patternType="solid">
          <fgColor indexed="64"/>
          <bgColor rgb="FFFFFFCC"/>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0"/>
        <color theme="1"/>
        <name val="Calibri"/>
        <scheme val="minor"/>
      </font>
      <numFmt numFmtId="0" formatCode="General"/>
      <alignmen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
      <fill>
        <patternFill>
          <bgColor theme="0" tint="-4.9989318521683403E-2"/>
        </patternFill>
      </fill>
    </dxf>
    <dxf>
      <fill>
        <patternFill patternType="lightUp">
          <fgColor theme="5" tint="0.59996337778862885"/>
        </patternFill>
      </fill>
    </dxf>
    <dxf>
      <fill>
        <patternFill>
          <bgColor theme="0" tint="-4.9989318521683403E-2"/>
        </patternFill>
      </fill>
    </dxf>
    <dxf>
      <fill>
        <patternFill>
          <bgColor rgb="FFFFFFCC"/>
        </patternFill>
      </fill>
    </dxf>
    <dxf>
      <fill>
        <patternFill>
          <bgColor rgb="FFFFFFCC"/>
        </patternFill>
      </fill>
    </dxf>
    <dxf>
      <fill>
        <patternFill>
          <bgColor theme="0" tint="-4.9989318521683403E-2"/>
        </patternFill>
      </fill>
    </dxf>
    <dxf>
      <fill>
        <patternFill patternType="lightUp">
          <fgColor theme="0"/>
          <bgColor theme="5" tint="0.79998168889431442"/>
        </patternFill>
      </fill>
    </dxf>
    <dxf>
      <numFmt numFmtId="169" formatCode="00\-0000000"/>
    </dxf>
    <dxf>
      <numFmt numFmtId="170" formatCode="&quot;***&quot;\-&quot;**&quot;\-0000"/>
    </dxf>
    <dxf>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0" tint="-4.9989318521683403E-2"/>
        </patternFill>
      </fill>
    </dxf>
    <dxf>
      <fill>
        <patternFill patternType="lightUp">
          <fgColor theme="0"/>
          <bgColor theme="5" tint="0.79998168889431442"/>
        </patternFill>
      </fill>
    </dxf>
    <dxf>
      <fill>
        <patternFill>
          <bgColor theme="5" tint="0.59996337778862885"/>
        </patternFill>
      </fill>
    </dxf>
    <dxf>
      <fill>
        <patternFill>
          <bgColor theme="5" tint="0.79998168889431442"/>
        </patternFill>
      </fill>
    </dxf>
    <dxf>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rgb="FFFFCC66"/>
        </patternFill>
      </fill>
    </dxf>
    <dxf>
      <fill>
        <patternFill>
          <bgColor theme="6" tint="0.79998168889431442"/>
        </patternFill>
      </fill>
    </dxf>
    <dxf>
      <fill>
        <patternFill>
          <bgColor theme="5" tint="0.79998168889431442"/>
        </patternFill>
      </fill>
    </dxf>
    <dxf>
      <fill>
        <patternFill>
          <bgColor theme="0"/>
        </patternFill>
      </fill>
    </dxf>
  </dxfs>
  <tableStyles count="0" defaultTableStyle="TableStyleMedium2" defaultPivotStyle="PivotStyleMedium9"/>
  <colors>
    <mruColors>
      <color rgb="FFF7F7F7"/>
      <color rgb="FFF5F5F5"/>
      <color rgb="FFFFFFCC"/>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ensus.gov/eos/www/naics/2017NAICS/2017_NAICS_Manual.pdf" TargetMode="External"/><Relationship Id="rId2" Type="http://schemas.openxmlformats.org/officeDocument/2006/relationships/hyperlink" Target="mailto:DisasterRecovery@fhlbny.com" TargetMode="External"/><Relationship Id="rId1" Type="http://schemas.openxmlformats.org/officeDocument/2006/relationships/image" Target="../media/image1.png"/><Relationship Id="rId4" Type="http://schemas.openxmlformats.org/officeDocument/2006/relationships/hyperlink" Target="http://www.sba.gov/content/small-business-size-standard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104537</xdr:colOff>
      <xdr:row>0</xdr:row>
      <xdr:rowOff>638095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625" y="0"/>
          <a:ext cx="1904762" cy="638095"/>
        </a:xfrm>
        <a:prstGeom prst="rect">
          <a:avLst/>
        </a:prstGeom>
      </xdr:spPr>
    </xdr:pic>
    <xdr:clientData/>
  </xdr:twoCellAnchor>
  <xdr:twoCellAnchor editAs="absolute">
    <xdr:from>
      <xdr:col>3</xdr:col>
      <xdr:colOff>76200</xdr:colOff>
      <xdr:row>3</xdr:row>
      <xdr:rowOff>590550</xdr:rowOff>
    </xdr:from>
    <xdr:to>
      <xdr:col>4</xdr:col>
      <xdr:colOff>1447800</xdr:colOff>
      <xdr:row>3</xdr:row>
      <xdr:rowOff>819150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314450" y="1714500"/>
          <a:ext cx="19812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9524</xdr:colOff>
      <xdr:row>23</xdr:row>
      <xdr:rowOff>419100</xdr:rowOff>
    </xdr:from>
    <xdr:to>
      <xdr:col>4</xdr:col>
      <xdr:colOff>3486149</xdr:colOff>
      <xdr:row>23</xdr:row>
      <xdr:rowOff>619125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638174" y="8753475"/>
          <a:ext cx="46958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2</xdr:col>
      <xdr:colOff>38099</xdr:colOff>
      <xdr:row>25</xdr:row>
      <xdr:rowOff>781051</xdr:rowOff>
    </xdr:from>
    <xdr:to>
      <xdr:col>4</xdr:col>
      <xdr:colOff>2419350</xdr:colOff>
      <xdr:row>25</xdr:row>
      <xdr:rowOff>971551</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666749" y="9915526"/>
          <a:ext cx="360045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4</xdr:col>
      <xdr:colOff>1123950</xdr:colOff>
      <xdr:row>37</xdr:row>
      <xdr:rowOff>190500</xdr:rowOff>
    </xdr:from>
    <xdr:to>
      <xdr:col>4</xdr:col>
      <xdr:colOff>3105150</xdr:colOff>
      <xdr:row>37</xdr:row>
      <xdr:rowOff>419100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971800" y="13106400"/>
          <a:ext cx="19812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4</xdr:col>
      <xdr:colOff>3276600</xdr:colOff>
      <xdr:row>37</xdr:row>
      <xdr:rowOff>1143000</xdr:rowOff>
    </xdr:from>
    <xdr:to>
      <xdr:col>5</xdr:col>
      <xdr:colOff>219075</xdr:colOff>
      <xdr:row>37</xdr:row>
      <xdr:rowOff>1371600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124450" y="14058900"/>
          <a:ext cx="19812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34</xdr:col>
      <xdr:colOff>750799</xdr:colOff>
      <xdr:row>17</xdr:row>
      <xdr:rowOff>56025</xdr:rowOff>
    </xdr:from>
    <xdr:to>
      <xdr:col>35</xdr:col>
      <xdr:colOff>177375</xdr:colOff>
      <xdr:row>18</xdr:row>
      <xdr:rowOff>91324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5496749" y="3827925"/>
          <a:ext cx="312401" cy="216274"/>
          <a:chOff x="26176218" y="3724836"/>
          <a:chExt cx="347382" cy="242230"/>
        </a:xfrm>
      </xdr:grpSpPr>
      <xdr:sp macro="" textlink="">
        <xdr:nvSpPr>
          <xdr:cNvPr id="2" name="Oval 1">
            <a:extLst>
              <a:ext uri="{FF2B5EF4-FFF2-40B4-BE49-F238E27FC236}">
                <a16:creationId xmlns:a16="http://schemas.microsoft.com/office/drawing/2014/main" id="{00000000-0008-0000-0100-000002000000}"/>
              </a:ext>
            </a:extLst>
          </xdr:cNvPr>
          <xdr:cNvSpPr/>
        </xdr:nvSpPr>
        <xdr:spPr>
          <a:xfrm>
            <a:off x="26211175" y="3738466"/>
            <a:ext cx="228600" cy="228600"/>
          </a:xfrm>
          <a:prstGeom prst="ellipse">
            <a:avLst/>
          </a:prstGeom>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900"/>
          </a:p>
        </xdr:txBody>
      </xdr:sp>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6176218" y="3724836"/>
            <a:ext cx="34738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chemeClr val="bg1"/>
                </a:solidFill>
              </a:rPr>
              <a:t>or</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_FRF_DATA" displayName="TBL_FRF_DATA" ref="B21:BF71" totalsRowShown="0" headerRowDxfId="60" dataDxfId="58" headerRowBorderDxfId="59" tableBorderDxfId="57">
  <autoFilter ref="B21:BF71" xr:uid="{00000000-0009-0000-0100-000002000000}"/>
  <tableColumns count="57">
    <tableColumn id="3" xr3:uid="{00000000-0010-0000-0000-000003000000}" name="RECORD_STARTED" dataDxfId="56">
      <calculatedColumnFormula>(CONCATENATE(TBL_FRF_DATA[[#This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calculatedColumnFormula>
    </tableColumn>
    <tableColumn id="4" xr3:uid="{00000000-0010-0000-0000-000004000000}" name="REQ_FIELDS_POP" dataDxfId="55">
      <calculatedColumnFormula>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calculatedColumnFormula>
    </tableColumn>
    <tableColumn id="5" xr3:uid="{00000000-0010-0000-0000-000005000000}" name="ERROR_COUNT" dataDxfId="54">
      <calculatedColumnFormula>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calculatedColumnFormula>
    </tableColumn>
    <tableColumn id="17" xr3:uid="{00000000-0010-0000-0000-000011000000}" name="ERROR_NOT_IN_ORDER" dataDxfId="53">
      <calculatedColumnFormula>AND(TBL_FRF_DATA[[#This Row],[RECORD_STARTED]],(COUNTIFS(TBL_FRF_DATA[RECORD_STARTED],FALSE,TBL_FRF_DATA[ROW_ID],"&lt;"&amp;TBL_FRF_DATA[[#This Row],[ROW_ID]])&gt;0))</calculatedColumnFormula>
    </tableColumn>
    <tableColumn id="37" xr3:uid="{00000000-0010-0000-0000-000025000000}" name="REC_STATUS_CODE" dataDxfId="52">
      <calculatedColumnFormula>IF(TBL_FRF_DATA[[#This Row],[RECORD_STARTED]],IF(TBL_FRF_DATA[[#This Row],[ERROR_COUNT]]&gt;0,-1,IF(TBL_FRF_DATA[[#This Row],[REQ_FIELDS_POP]],1,0)),"")</calculatedColumnFormula>
    </tableColumn>
    <tableColumn id="36" xr3:uid="{00000000-0010-0000-0000-000024000000}" name="ROW_ID" dataDxfId="51">
      <calculatedColumnFormula>ROW()-ROW(TBL_FRF_DATA[[#Headers],[ROW_ID]])</calculatedColumnFormula>
    </tableColumn>
    <tableColumn id="38" xr3:uid="{00000000-0010-0000-0000-000026000000}" name="APPL_DATE" dataDxfId="50">
      <calculatedColumnFormula>APPLICATION_DATE</calculatedColumnFormula>
    </tableColumn>
    <tableColumn id="16" xr3:uid="{00000000-0010-0000-0000-000010000000}" name="FRF_ID" dataDxfId="49">
      <calculatedColumnFormula>FRF_ID</calculatedColumnFormula>
    </tableColumn>
    <tableColumn id="6" xr3:uid="{00000000-0010-0000-0000-000006000000}" name="MEMBER_ID" dataDxfId="48">
      <calculatedColumnFormula>FRF_ID_MEMBER_ID</calculatedColumnFormula>
    </tableColumn>
    <tableColumn id="18" xr3:uid="{B9A10924-22BE-4BB6-AE62-1160E1DBB4AC}" name="NONPROF_OR_TRIBAL_FLAG" dataDxfId="47">
      <calculatedColumnFormula>OR(TBL_FRF_DATA[[#This Row],[ORGANIZATION_TYPE]]=RANGE_ORG_TYPE_NONPROFIT,TBL_FRF_DATA[[#This Row],[TRIBAL_LAND_FLAG]]=RANGE_YESNO_YES)</calculatedColumnFormula>
    </tableColumn>
    <tableColumn id="58" xr3:uid="{58F0189C-1CC6-4280-96D0-03C0A522232E}" name="PR_OR_USVI_FLAG" dataDxfId="46">
      <calculatedColumnFormula>OR(TBL_FRF_DATA[[#This Row],[ADDRESS_STATE]]="PR",TBL_FRF_DATA[[#This Row],[ADDRESS_STATE]]="VI")</calculatedColumnFormula>
    </tableColumn>
    <tableColumn id="7" xr3:uid="{00000000-0010-0000-0000-000007000000}" name="ORGANIZATION_NAME" dataDxfId="45"/>
    <tableColumn id="44" xr3:uid="{D6695E1D-8CC1-4723-A098-36C09F8D0FA1}" name="ORGANIZATION_TYPE" dataDxfId="44"/>
    <tableColumn id="8" xr3:uid="{00000000-0010-0000-0000-000008000000}" name="ADDRESS_STREET" dataDxfId="43"/>
    <tableColumn id="22" xr3:uid="{00000000-0010-0000-0000-000016000000}" name="ADDRESS_CITY" dataDxfId="42"/>
    <tableColumn id="9" xr3:uid="{00000000-0010-0000-0000-000009000000}" name="ADDRESS_STATE" dataDxfId="41"/>
    <tableColumn id="10" xr3:uid="{00000000-0010-0000-0000-00000A000000}" name="ADDRESS_ZIP" dataDxfId="40"/>
    <tableColumn id="11" xr3:uid="{00000000-0010-0000-0000-00000B000000}" name="ADDRESS_COUNTY" dataDxfId="39"/>
    <tableColumn id="45" xr3:uid="{7613F8DB-5F2D-434D-AE05-7CCE195707B5}" name="TRIBAL_LAND_FLAG" dataDxfId="38"/>
    <tableColumn id="20" xr3:uid="{00000000-0010-0000-0000-000014000000}" name="FUNDS_REQUESTED" dataDxfId="37" dataCellStyle="Currency"/>
    <tableColumn id="24" xr3:uid="{00000000-0010-0000-0000-000018000000}" name="FUNDING_TYPE" dataDxfId="36" dataCellStyle="Currency"/>
    <tableColumn id="47" xr3:uid="{D2D99E42-8596-454A-AFEA-8405B9967190}" name="FUNDING_LEVERAGE" dataDxfId="35" dataCellStyle="Currency"/>
    <tableColumn id="25" xr3:uid="{00000000-0010-0000-0000-000019000000}" name="UOF_DESC" dataDxfId="34" dataCellStyle="Currency"/>
    <tableColumn id="21" xr3:uid="{00000000-0010-0000-0000-000015000000}" name="DUPLICATE_SUBMISSION" dataDxfId="33" dataCellStyle="Currency"/>
    <tableColumn id="43" xr3:uid="{00000000-0010-0000-0000-00002B000000}" name="ORG_OP_STATUS" dataDxfId="32" dataCellStyle="Currency"/>
    <tableColumn id="15" xr3:uid="{00000000-0010-0000-0000-00000F000000}" name="OWNER_NAME" dataDxfId="31" dataCellStyle="Currency"/>
    <tableColumn id="2" xr3:uid="{00000000-0010-0000-0000-000002000000}" name="OWNERSHIP_STRUCTURE" dataDxfId="30" dataCellStyle="Currency"/>
    <tableColumn id="46" xr3:uid="{9EF71F8F-0EAE-43EB-A9BA-A750C0CF4005}" name="TAXID_TYPE" dataDxfId="29"/>
    <tableColumn id="48" xr3:uid="{9100EBBF-9CC3-4EEB-B621-9A315F8D586D}" name="TAXID_VALUE" dataDxfId="28"/>
    <tableColumn id="23" xr3:uid="{00000000-0010-0000-0000-000017000000}" name="BUSINESS_DESCRIPTION" dataDxfId="27"/>
    <tableColumn id="27" xr3:uid="{00000000-0010-0000-0000-00001B000000}" name="NAICS_CODE" dataDxfId="26"/>
    <tableColumn id="35" xr3:uid="{00000000-0010-0000-0000-000023000000}" name="ELIGIBILITY_BASIS" dataDxfId="25"/>
    <tableColumn id="40" xr3:uid="{00000000-0010-0000-0000-000028000000}" name="ANNUAL_RECEIPTS" dataDxfId="24" dataCellStyle="Currency"/>
    <tableColumn id="39" xr3:uid="{00000000-0010-0000-0000-000027000000}" name="SBA_MAX_ANNUAL_RECEIPTS" dataDxfId="23" dataCellStyle="Currency"/>
    <tableColumn id="41" xr3:uid="{00000000-0010-0000-0000-000029000000}" name="NUMBER_EMPLOYEES" dataDxfId="22"/>
    <tableColumn id="42" xr3:uid="{00000000-0010-0000-0000-00002A000000}" name="SBA_MAX_NUMBER_EMPLOYEES" dataDxfId="21"/>
    <tableColumn id="12" xr3:uid="{00000000-0010-0000-0000-00000C000000}" name="SBA_QUALIFIED_FLAG" dataDxfId="20">
      <calculatedColumnFormula>IF(OR(TBL_FRF_DATA[[#This Row],[ELIGIBILITY_BASIS]]="",$U22&lt;0),"",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calculatedColumnFormula>
    </tableColumn>
    <tableColumn id="55" xr3:uid="{AE745470-6C6B-4B48-856F-C134948C7355}" name="NP_ANNUAL_OP_BUDGET" dataDxfId="19" dataCellStyle="Currency"/>
    <tableColumn id="56" xr3:uid="{A30CD95A-479B-4D0D-9CD2-C44BD610B6E7}" name="NP_ANNUAL_OP_BUDGET_QUALIFIED_FLAG" dataDxfId="18">
      <calculatedColumnFormula>IF(AND(TBL_FRF_DATA[[#This Row],[ORGANIZATION_TYPE]]=RANGE_ORG_TYPE_NONPROFIT,TBL_FRF_DATA[[#This Row],[NP_ANNUAL_OP_BUDGET]]&lt;&gt;""),IF(TBL_FRF_DATA[[#This Row],[NP_ANNUAL_OP_BUDGET]]&lt;NP_ANNUAL_OPBUDGET_THRESHOLD_ELIGIBILITY,"Yes","No"),"")</calculatedColumnFormula>
    </tableColumn>
    <tableColumn id="49" xr3:uid="{98FC0CF8-FDD8-461C-AAEA-B357F290C9DC}" name="REVENUE_2019_PERIOD_START" dataDxfId="17" dataCellStyle="Currency">
      <calculatedColumnFormula>IF(TBL_FRF_DATA[[#This Row],[RECORD_STARTED]],"1/1/2019","")</calculatedColumnFormula>
    </tableColumn>
    <tableColumn id="51" xr3:uid="{89A1E80E-84AB-4B87-A32D-76EFD093A6D0}" name="REVENUE_2019_AMT" dataDxfId="16" dataCellStyle="Currency"/>
    <tableColumn id="50" xr3:uid="{54D403F7-4136-4D3F-84FF-BCFB2A5E7ADA}" name="REVENUE_2020_PERIOD_START" dataDxfId="15" dataCellStyle="Currency">
      <calculatedColumnFormula>IF(TBL_FRF_DATA[[#This Row],[REVENUE_2019_PERIOD_START]]="","",DATE(YEAR(TBL_FRF_DATA[[#This Row],[REVENUE_2019_PERIOD_START]])+1,MONTH(TBL_FRF_DATA[[#This Row],[REVENUE_2019_PERIOD_START]]),DAY(TBL_FRF_DATA[[#This Row],[REVENUE_2019_PERIOD_START]])))</calculatedColumnFormula>
    </tableColumn>
    <tableColumn id="52" xr3:uid="{FF6CDC45-47AA-48CB-9997-3AE043866ABE}" name="REVENUE_2020_AMT" dataDxfId="14" dataCellStyle="Currency"/>
    <tableColumn id="54" xr3:uid="{4EB8A0F2-8169-4474-B8F9-BD0F99EF6938}" name="REVENUE_PCT_CHANGE" dataDxfId="13" dataCellStyle="Percent">
      <calculatedColumnFormula>IF(AND(TBL_FRF_DATA[[#This Row],[REVENUE_2019_AMT]]&lt;&gt;"",TBL_FRF_DATA[[#This Row],[REVENUE_2020_AMT]]&lt;&gt;""),(TBL_FRF_DATA[[#This Row],[REVENUE_2019_AMT]]-TBL_FRF_DATA[[#This Row],[REVENUE_2020_AMT]])/TBL_FRF_DATA[[#This Row],[REVENUE_2019_AMT]],"")</calculatedColumnFormula>
    </tableColumn>
    <tableColumn id="53" xr3:uid="{E17B424B-7C06-46F4-A38F-3B43AE1CBF39}" name="QUALIFIED_REVENUE_IMPACT_FLAG" dataDxfId="12">
      <calculatedColumnFormula>IF(TBL_FRF_DATA[[#This Row],[REVENUE_PCT_CHANGE]]&lt;&gt;"",IF(TBL_FRF_DATA[[#This Row],[REVENUE_PCT_CHANGE]]&gt;=REVENUE_DECLINE_THRESHOLD_ELIGIBILITY,"Yes","No"),"")</calculatedColumnFormula>
    </tableColumn>
    <tableColumn id="1" xr3:uid="{00000000-0010-0000-0000-000001000000}" name="SBA_ELIGIBILITY_BUSACTUAL_VALUE" dataDxfId="11" dataCellStyle="Currency">
      <calculatedColumnFormula>IF(TBL_FRF_DATA[[#This Row],[ELIGIBILITY_BASIS]]="","",IF(TBL_FRF_DATA[[#This Row],[ELIGIBILITY_BASIS]]=ELIG_BASIS_ANNUAL_RECEIPTS,IF(TBL_FRF_DATA[[#This Row],[ANNUAL_RECEIPTS]]="","",TBL_FRF_DATA[[#This Row],[ANNUAL_RECEIPTS]]),IF(TBL_FRF_DATA[[#This Row],[NUMBER_EMPLOYEES]]="","",TBL_FRF_DATA[[#This Row],[NUMBER_EMPLOYEES]])))</calculatedColumnFormula>
    </tableColumn>
    <tableColumn id="14" xr3:uid="{00000000-0010-0000-0000-00000E000000}" name="SBA_ELIGIBILITY_MAX_VALUE" dataDxfId="10" dataCellStyle="Currency"/>
    <tableColumn id="19" xr3:uid="{00000000-0010-0000-0000-000013000000}" name="INCOME_TO_AMI_VERIFIED" dataDxfId="9" dataCellStyle="Percent">
      <calculatedColumnFormula>IF(OR(TBL_FRF_DATA[[#This Row],[SBA_ELIGIBILITY_BUSACTUAL_VALUE]]="",TBL_FRF_DATA[[#This Row],[SBA_ELIGIBILITY_MAX_VALUE]]=""),"",IF(TBL_FRF_DATA[[#This Row],[SBA_ELIGIBILITY_BUSACTUAL_VALUE]]&lt;=TBL_FRF_DATA[[#This Row],[SBA_ELIGIBILITY_MAX_VALUE]],"Yes","No"))</calculatedColumnFormula>
    </tableColumn>
    <tableColumn id="34" xr3:uid="{00000000-0010-0000-0000-000022000000}" name="SBA_VERIFICATION_COMMENTS" dataDxfId="8" dataCellStyle="Percent"/>
    <tableColumn id="13" xr3:uid="{00000000-0010-0000-0000-00000D000000}" name="MAKER_NAME" dataDxfId="7"/>
    <tableColumn id="26" xr3:uid="{00000000-0010-0000-0000-00001A000000}" name="MAKER_COMPLETION_DATE" dataDxfId="6"/>
    <tableColumn id="28" xr3:uid="{00000000-0010-0000-0000-00001C000000}" name="MAKER_RECOMMEDATION" dataDxfId="5"/>
    <tableColumn id="29" xr3:uid="{00000000-0010-0000-0000-00001D000000}" name="MAKER_COMMENTS" dataDxfId="4"/>
    <tableColumn id="30" xr3:uid="{00000000-0010-0000-0000-00001E000000}" name="CHECKER_NAME" dataDxfId="3"/>
    <tableColumn id="31" xr3:uid="{00000000-0010-0000-0000-00001F000000}" name="CHECKER_COMPLETION_DATE" dataDxfId="2"/>
    <tableColumn id="32" xr3:uid="{00000000-0010-0000-0000-000020000000}" name="CHECKER_RECOMMENDATION" dataDxfId="1"/>
    <tableColumn id="33" xr3:uid="{00000000-0010-0000-0000-000021000000}" name="CHECKER_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ensus.gov/eos/www/naics/2017NAICS/2017_NAICS_Manual.pdf" TargetMode="External"/><Relationship Id="rId2" Type="http://schemas.openxmlformats.org/officeDocument/2006/relationships/hyperlink" Target="https://www.sba.gov/contracting/getting-started-contractor/make-sure-you-meet-sba-size-standards/table-small-business-size-standards" TargetMode="External"/><Relationship Id="rId1" Type="http://schemas.openxmlformats.org/officeDocument/2006/relationships/hyperlink" Target="https://www.sba.gov/contracting/getting-started-contractor/make-sure-you-meet-sba-size-standards/table-small-business-size-standards" TargetMode="Externa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G1048576"/>
  <sheetViews>
    <sheetView showGridLines="0" showRowColHeaders="0" tabSelected="1" zoomScaleNormal="100" workbookViewId="0">
      <selection activeCell="A40" sqref="A40:XFD40"/>
    </sheetView>
  </sheetViews>
  <sheetFormatPr defaultColWidth="0" defaultRowHeight="15" zeroHeight="1" x14ac:dyDescent="0.25"/>
  <cols>
    <col min="1" max="1" width="1.7109375" customWidth="1"/>
    <col min="2" max="2" width="7.7109375" customWidth="1"/>
    <col min="3" max="4" width="9.140625" customWidth="1"/>
    <col min="5" max="5" width="75.5703125" customWidth="1"/>
    <col min="6" max="6" width="9.140625" customWidth="1"/>
    <col min="7" max="7" width="1.7109375" customWidth="1"/>
    <col min="8" max="16384" width="9.140625" hidden="1"/>
  </cols>
  <sheetData>
    <row r="1" spans="1:6" ht="54" customHeight="1" x14ac:dyDescent="0.25">
      <c r="F1" s="26" t="str">
        <f>TEXT(LAST_REVISION_DATE,"MM/YYYY")</f>
        <v>08/2021</v>
      </c>
    </row>
    <row r="2" spans="1:6" ht="20.100000000000001" customHeight="1" x14ac:dyDescent="0.25">
      <c r="A2" s="1"/>
      <c r="B2" s="73" t="s">
        <v>382</v>
      </c>
      <c r="C2" s="1"/>
      <c r="D2" s="1"/>
      <c r="E2" s="1"/>
      <c r="F2" s="1"/>
    </row>
    <row r="3" spans="1:6" x14ac:dyDescent="0.25"/>
    <row r="4" spans="1:6" s="86" customFormat="1" ht="73.5" customHeight="1" x14ac:dyDescent="0.25">
      <c r="B4" s="181" t="s">
        <v>383</v>
      </c>
      <c r="C4" s="181"/>
      <c r="D4" s="181"/>
      <c r="E4" s="181"/>
      <c r="F4" s="181"/>
    </row>
    <row r="5" spans="1:6" s="86" customFormat="1" ht="9" customHeight="1" x14ac:dyDescent="0.25">
      <c r="B5" s="149"/>
      <c r="C5" s="149"/>
      <c r="D5" s="149"/>
      <c r="E5" s="149"/>
      <c r="F5" s="149"/>
    </row>
    <row r="6" spans="1:6" s="86" customFormat="1" ht="31.5" customHeight="1" x14ac:dyDescent="0.25">
      <c r="B6" s="181" t="s">
        <v>384</v>
      </c>
      <c r="C6" s="181"/>
      <c r="D6" s="181"/>
      <c r="E6" s="181"/>
      <c r="F6" s="181"/>
    </row>
    <row r="7" spans="1:6" s="86" customFormat="1" ht="9" customHeight="1" x14ac:dyDescent="0.25">
      <c r="B7" s="149"/>
      <c r="C7" s="149"/>
      <c r="D7" s="149"/>
      <c r="E7" s="149"/>
      <c r="F7" s="149"/>
    </row>
    <row r="8" spans="1:6" s="86" customFormat="1" ht="51" customHeight="1" x14ac:dyDescent="0.25">
      <c r="B8" s="150" t="s">
        <v>228</v>
      </c>
      <c r="C8" s="181" t="s">
        <v>385</v>
      </c>
      <c r="D8" s="181"/>
      <c r="E8" s="181"/>
      <c r="F8" s="181"/>
    </row>
    <row r="9" spans="1:6" s="86" customFormat="1" ht="9" customHeight="1" x14ac:dyDescent="0.25">
      <c r="B9" s="149"/>
      <c r="C9" s="149"/>
      <c r="D9" s="149"/>
      <c r="E9" s="149"/>
      <c r="F9" s="149"/>
    </row>
    <row r="10" spans="1:6" s="86" customFormat="1" ht="32.25" customHeight="1" x14ac:dyDescent="0.25">
      <c r="B10" s="150" t="s">
        <v>228</v>
      </c>
      <c r="C10" s="181" t="s">
        <v>386</v>
      </c>
      <c r="D10" s="181"/>
      <c r="E10" s="181"/>
      <c r="F10" s="181"/>
    </row>
    <row r="11" spans="1:6" s="86" customFormat="1" ht="9" customHeight="1" x14ac:dyDescent="0.25">
      <c r="B11" s="149"/>
      <c r="C11" s="149"/>
      <c r="D11" s="149"/>
      <c r="E11" s="149"/>
      <c r="F11" s="149"/>
    </row>
    <row r="12" spans="1:6" s="86" customFormat="1" ht="33" customHeight="1" x14ac:dyDescent="0.25">
      <c r="B12" s="150" t="s">
        <v>228</v>
      </c>
      <c r="C12" s="181" t="s">
        <v>387</v>
      </c>
      <c r="D12" s="181"/>
      <c r="E12" s="181"/>
      <c r="F12" s="181"/>
    </row>
    <row r="13" spans="1:6" s="86" customFormat="1" ht="9" customHeight="1" x14ac:dyDescent="0.25">
      <c r="B13" s="149"/>
      <c r="C13" s="149"/>
      <c r="D13" s="149"/>
      <c r="E13" s="149"/>
      <c r="F13" s="149"/>
    </row>
    <row r="14" spans="1:6" s="86" customFormat="1" ht="81" customHeight="1" x14ac:dyDescent="0.25">
      <c r="B14" s="150" t="s">
        <v>228</v>
      </c>
      <c r="C14" s="181" t="s">
        <v>388</v>
      </c>
      <c r="D14" s="181"/>
      <c r="E14" s="181"/>
      <c r="F14" s="181"/>
    </row>
    <row r="15" spans="1:6" s="86" customFormat="1" ht="9" customHeight="1" x14ac:dyDescent="0.25">
      <c r="B15" s="149"/>
      <c r="C15" s="149"/>
      <c r="D15" s="149"/>
      <c r="E15" s="149"/>
      <c r="F15" s="149"/>
    </row>
    <row r="16" spans="1:6" s="86" customFormat="1" ht="78.75" customHeight="1" x14ac:dyDescent="0.25">
      <c r="B16" s="150" t="s">
        <v>228</v>
      </c>
      <c r="C16" s="181" t="s">
        <v>389</v>
      </c>
      <c r="D16" s="181"/>
      <c r="E16" s="181"/>
      <c r="F16" s="181"/>
    </row>
    <row r="17" spans="2:6" s="86" customFormat="1" ht="9" customHeight="1" x14ac:dyDescent="0.25">
      <c r="B17" s="149"/>
      <c r="C17" s="149"/>
      <c r="D17" s="149"/>
      <c r="E17" s="149"/>
      <c r="F17" s="149"/>
    </row>
    <row r="18" spans="2:6" s="86" customFormat="1" ht="66.75" customHeight="1" x14ac:dyDescent="0.25">
      <c r="B18" s="150" t="s">
        <v>228</v>
      </c>
      <c r="C18" s="181" t="s">
        <v>390</v>
      </c>
      <c r="D18" s="181"/>
      <c r="E18" s="181"/>
      <c r="F18" s="181"/>
    </row>
    <row r="19" spans="2:6" s="86" customFormat="1" ht="9" customHeight="1" x14ac:dyDescent="0.25">
      <c r="B19" s="149"/>
      <c r="C19" s="149"/>
      <c r="D19" s="149"/>
      <c r="E19" s="149"/>
      <c r="F19" s="149"/>
    </row>
    <row r="20" spans="2:6" s="86" customFormat="1" x14ac:dyDescent="0.25">
      <c r="B20" s="150" t="s">
        <v>228</v>
      </c>
      <c r="C20" s="181" t="s">
        <v>391</v>
      </c>
      <c r="D20" s="181"/>
      <c r="E20" s="181"/>
      <c r="F20" s="181"/>
    </row>
    <row r="21" spans="2:6" s="86" customFormat="1" ht="9" customHeight="1" x14ac:dyDescent="0.25">
      <c r="B21" s="149"/>
      <c r="C21" s="149"/>
      <c r="D21" s="149"/>
      <c r="E21" s="149"/>
      <c r="F21" s="149"/>
    </row>
    <row r="22" spans="2:6" s="86" customFormat="1" x14ac:dyDescent="0.25">
      <c r="B22" s="150" t="s">
        <v>228</v>
      </c>
      <c r="C22" s="181" t="s">
        <v>392</v>
      </c>
      <c r="D22" s="181"/>
      <c r="E22" s="181"/>
      <c r="F22" s="181"/>
    </row>
    <row r="23" spans="2:6" s="86" customFormat="1" ht="9" customHeight="1" x14ac:dyDescent="0.25">
      <c r="B23" s="149"/>
      <c r="C23" s="149"/>
      <c r="D23" s="149"/>
      <c r="E23" s="149"/>
      <c r="F23" s="149"/>
    </row>
    <row r="24" spans="2:6" s="86" customFormat="1" ht="54" customHeight="1" x14ac:dyDescent="0.25">
      <c r="B24" s="150" t="s">
        <v>228</v>
      </c>
      <c r="C24" s="181" t="s">
        <v>393</v>
      </c>
      <c r="D24" s="181"/>
      <c r="E24" s="181"/>
      <c r="F24" s="181"/>
    </row>
    <row r="25" spans="2:6" s="86" customFormat="1" ht="9" customHeight="1" x14ac:dyDescent="0.25">
      <c r="B25" s="149"/>
      <c r="C25" s="149"/>
      <c r="D25" s="149"/>
      <c r="E25" s="149"/>
      <c r="F25" s="149"/>
    </row>
    <row r="26" spans="2:6" s="86" customFormat="1" ht="78" customHeight="1" x14ac:dyDescent="0.25">
      <c r="B26" s="150" t="s">
        <v>228</v>
      </c>
      <c r="C26" s="181" t="s">
        <v>394</v>
      </c>
      <c r="D26" s="181"/>
      <c r="E26" s="181"/>
      <c r="F26" s="181"/>
    </row>
    <row r="27" spans="2:6" s="86" customFormat="1" ht="9" customHeight="1" x14ac:dyDescent="0.25">
      <c r="B27" s="149"/>
      <c r="C27" s="149"/>
      <c r="D27" s="149"/>
      <c r="E27" s="149"/>
      <c r="F27" s="149"/>
    </row>
    <row r="28" spans="2:6" s="86" customFormat="1" ht="33.75" customHeight="1" x14ac:dyDescent="0.25">
      <c r="B28" s="150" t="s">
        <v>228</v>
      </c>
      <c r="C28" s="181" t="s">
        <v>395</v>
      </c>
      <c r="D28" s="181"/>
      <c r="E28" s="181"/>
      <c r="F28" s="181"/>
    </row>
    <row r="29" spans="2:6" s="86" customFormat="1" ht="9" customHeight="1" x14ac:dyDescent="0.25">
      <c r="B29" s="149"/>
      <c r="C29" s="149"/>
      <c r="D29" s="149"/>
      <c r="E29" s="149"/>
      <c r="F29" s="149"/>
    </row>
    <row r="30" spans="2:6" s="86" customFormat="1" ht="18.75" customHeight="1" x14ac:dyDescent="0.25">
      <c r="B30" s="150" t="s">
        <v>228</v>
      </c>
      <c r="C30" s="181" t="s">
        <v>396</v>
      </c>
      <c r="D30" s="181"/>
      <c r="E30" s="181"/>
      <c r="F30" s="181"/>
    </row>
    <row r="31" spans="2:6" s="86" customFormat="1" ht="18" customHeight="1" x14ac:dyDescent="0.25">
      <c r="B31" s="149"/>
      <c r="C31" s="150" t="s">
        <v>400</v>
      </c>
      <c r="D31" s="182" t="s">
        <v>447</v>
      </c>
      <c r="E31" s="182"/>
      <c r="F31" s="182"/>
    </row>
    <row r="32" spans="2:6" s="86" customFormat="1" ht="18" customHeight="1" x14ac:dyDescent="0.25">
      <c r="B32" s="149"/>
      <c r="C32" s="150" t="s">
        <v>400</v>
      </c>
      <c r="D32" s="182" t="s">
        <v>448</v>
      </c>
      <c r="E32" s="182"/>
      <c r="F32" s="182"/>
    </row>
    <row r="33" spans="2:6" s="86" customFormat="1" ht="9" customHeight="1" x14ac:dyDescent="0.25">
      <c r="B33" s="149"/>
      <c r="C33" s="149"/>
      <c r="D33" s="149"/>
      <c r="E33" s="149"/>
      <c r="F33" s="149"/>
    </row>
    <row r="34" spans="2:6" s="86" customFormat="1" ht="50.25" customHeight="1" x14ac:dyDescent="0.25">
      <c r="B34" s="150" t="s">
        <v>228</v>
      </c>
      <c r="C34" s="181" t="s">
        <v>397</v>
      </c>
      <c r="D34" s="181"/>
      <c r="E34" s="181"/>
      <c r="F34" s="181"/>
    </row>
    <row r="35" spans="2:6" s="86" customFormat="1" ht="9" customHeight="1" x14ac:dyDescent="0.25">
      <c r="B35" s="149"/>
      <c r="C35" s="149"/>
      <c r="D35" s="149"/>
      <c r="E35" s="149"/>
      <c r="F35" s="149"/>
    </row>
    <row r="36" spans="2:6" s="86" customFormat="1" ht="36" customHeight="1" x14ac:dyDescent="0.25">
      <c r="B36" s="150" t="s">
        <v>228</v>
      </c>
      <c r="C36" s="181" t="s">
        <v>398</v>
      </c>
      <c r="D36" s="181"/>
      <c r="E36" s="181"/>
      <c r="F36" s="181"/>
    </row>
    <row r="37" spans="2:6" s="86" customFormat="1" ht="9" customHeight="1" x14ac:dyDescent="0.25">
      <c r="B37" s="149"/>
      <c r="C37" s="149"/>
      <c r="D37" s="149"/>
      <c r="E37" s="149"/>
      <c r="F37" s="149"/>
    </row>
    <row r="38" spans="2:6" ht="115.5" customHeight="1" x14ac:dyDescent="0.25">
      <c r="B38" s="180" t="s">
        <v>399</v>
      </c>
      <c r="C38" s="180"/>
      <c r="D38" s="180"/>
      <c r="E38" s="180"/>
      <c r="F38" s="180"/>
    </row>
    <row r="39" spans="2:6" x14ac:dyDescent="0.25">
      <c r="B39" s="151"/>
      <c r="C39" s="151"/>
      <c r="D39" s="151"/>
      <c r="E39" s="151"/>
      <c r="F39" s="151"/>
    </row>
    <row r="40" spans="2:6" hidden="1" x14ac:dyDescent="0.25"/>
    <row r="1048576" ht="47.25" hidden="1" customHeight="1" x14ac:dyDescent="0.25"/>
  </sheetData>
  <sheetProtection algorithmName="SHA-512" hashValue="PjXGuyorh7F3OCPmcB2hjgHEf39PhtaaIAXX9XSJpidhfKnpgp020DfA2oY4mLuOjOAmpgrVr7jtbmbuRS05DA==" saltValue="Li0lQfoCvsazRaz9oMe5dw==" spinCount="100000" sheet="1" objects="1" scenarios="1" selectLockedCells="1" selectUnlockedCells="1"/>
  <mergeCells count="19">
    <mergeCell ref="C18:F18"/>
    <mergeCell ref="C14:F14"/>
    <mergeCell ref="C16:F16"/>
    <mergeCell ref="B4:F4"/>
    <mergeCell ref="B6:F6"/>
    <mergeCell ref="C8:F8"/>
    <mergeCell ref="C10:F10"/>
    <mergeCell ref="C12:F12"/>
    <mergeCell ref="B38:F38"/>
    <mergeCell ref="C20:F20"/>
    <mergeCell ref="C22:F22"/>
    <mergeCell ref="C24:F24"/>
    <mergeCell ref="C26:F26"/>
    <mergeCell ref="C28:F28"/>
    <mergeCell ref="C30:F30"/>
    <mergeCell ref="C34:F34"/>
    <mergeCell ref="C36:F36"/>
    <mergeCell ref="D31:F31"/>
    <mergeCell ref="D32:F32"/>
  </mergeCells>
  <pageMargins left="0.7" right="0.7" top="0.75" bottom="0.75" header="0.3" footer="0.3"/>
  <pageSetup scale="80" fitToHeight="0" orientation="portrait" r:id="rId1"/>
  <headerFooter>
    <oddFooter>Page &amp;P of &amp;N</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M72"/>
  <sheetViews>
    <sheetView showGridLines="0" showRowColHeaders="0" zoomScaleNormal="100" workbookViewId="0">
      <pane ySplit="19" topLeftCell="A20" activePane="bottomLeft" state="frozen"/>
      <selection pane="bottomLeft" activeCell="F6" sqref="F6:O6"/>
    </sheetView>
  </sheetViews>
  <sheetFormatPr defaultColWidth="0" defaultRowHeight="15" zeroHeight="1" outlineLevelCol="1" x14ac:dyDescent="0.25"/>
  <cols>
    <col min="1" max="1" width="0.85546875" customWidth="1"/>
    <col min="2" max="2" width="17" hidden="1" customWidth="1"/>
    <col min="3" max="3" width="16.28515625" hidden="1" customWidth="1"/>
    <col min="4" max="4" width="14.7109375" hidden="1" customWidth="1"/>
    <col min="5" max="5" width="21.85546875" hidden="1" customWidth="1"/>
    <col min="6" max="6" width="6.28515625" customWidth="1"/>
    <col min="7" max="7" width="6.140625" customWidth="1"/>
    <col min="8" max="8" width="9.140625" hidden="1" customWidth="1"/>
    <col min="9" max="9" width="19.42578125" hidden="1" customWidth="1"/>
    <col min="10" max="10" width="15" hidden="1" customWidth="1"/>
    <col min="11" max="12" width="25" hidden="1" customWidth="1"/>
    <col min="13" max="13" width="22.28515625" customWidth="1"/>
    <col min="14" max="14" width="13.7109375" customWidth="1"/>
    <col min="15" max="15" width="19.140625" customWidth="1"/>
    <col min="16" max="16" width="15.7109375" customWidth="1"/>
    <col min="17" max="17" width="7.28515625" customWidth="1"/>
    <col min="18" max="18" width="10" customWidth="1"/>
    <col min="19" max="19" width="13.140625" customWidth="1"/>
    <col min="20" max="20" width="7.5703125" customWidth="1"/>
    <col min="21" max="21" width="11" customWidth="1"/>
    <col min="22" max="23" width="21" customWidth="1"/>
    <col min="24" max="24" width="23.85546875" customWidth="1"/>
    <col min="25" max="25" width="13.28515625" customWidth="1"/>
    <col min="26" max="26" width="20.85546875" customWidth="1"/>
    <col min="27" max="27" width="18.140625" customWidth="1"/>
    <col min="28" max="28" width="28.7109375" customWidth="1"/>
    <col min="29" max="29" width="12.28515625" customWidth="1"/>
    <col min="30" max="30" width="18.42578125" customWidth="1"/>
    <col min="31" max="31" width="24.140625" customWidth="1"/>
    <col min="32" max="32" width="9.5703125" customWidth="1"/>
    <col min="33" max="33" width="15" customWidth="1"/>
    <col min="34" max="34" width="11.7109375" customWidth="1"/>
    <col min="35" max="35" width="13.28515625" customWidth="1"/>
    <col min="36" max="36" width="8.85546875" customWidth="1"/>
    <col min="37" max="37" width="9.5703125" customWidth="1"/>
    <col min="38" max="38" width="8.28515625" customWidth="1"/>
    <col min="39" max="39" width="15.85546875" customWidth="1"/>
    <col min="40" max="40" width="16" customWidth="1"/>
    <col min="41" max="41" width="16.7109375" customWidth="1"/>
    <col min="42" max="42" width="17.85546875" customWidth="1"/>
    <col min="43" max="43" width="17.5703125" customWidth="1"/>
    <col min="44" max="44" width="18" customWidth="1"/>
    <col min="45" max="45" width="11.7109375" customWidth="1"/>
    <col min="46" max="46" width="13.42578125" customWidth="1"/>
    <col min="47" max="47" width="17" hidden="1" customWidth="1" outlineLevel="1"/>
    <col min="48" max="48" width="15.28515625" hidden="1" customWidth="1" outlineLevel="1"/>
    <col min="49" max="49" width="12.5703125" hidden="1" customWidth="1" outlineLevel="1"/>
    <col min="50" max="50" width="27.85546875" hidden="1" customWidth="1" outlineLevel="1"/>
    <col min="51" max="51" width="15.28515625" hidden="1" customWidth="1" outlineLevel="1"/>
    <col min="52" max="52" width="10.7109375" hidden="1" customWidth="1" outlineLevel="1"/>
    <col min="53" max="53" width="8.7109375" hidden="1" customWidth="1" outlineLevel="1"/>
    <col min="54" max="54" width="30.7109375" hidden="1" customWidth="1" outlineLevel="1"/>
    <col min="55" max="55" width="15.28515625" hidden="1" customWidth="1" outlineLevel="1"/>
    <col min="56" max="56" width="10.7109375" hidden="1" customWidth="1" outlineLevel="1"/>
    <col min="57" max="57" width="8.7109375" hidden="1" customWidth="1" outlineLevel="1"/>
    <col min="58" max="58" width="30.7109375" hidden="1" customWidth="1" outlineLevel="1"/>
    <col min="59" max="59" width="2.85546875" customWidth="1" collapsed="1"/>
    <col min="60" max="62" width="9.140625" hidden="1" customWidth="1"/>
    <col min="63" max="63" width="0" hidden="1" customWidth="1"/>
    <col min="64" max="64" width="9.140625" hidden="1" customWidth="1"/>
    <col min="65" max="65" width="0" hidden="1" customWidth="1"/>
    <col min="66" max="16384" width="9.140625" hidden="1"/>
  </cols>
  <sheetData>
    <row r="1" spans="1:59" ht="24.95" customHeight="1" x14ac:dyDescent="0.25">
      <c r="A1" s="1"/>
      <c r="B1" s="1"/>
      <c r="C1" s="1"/>
      <c r="D1" s="1"/>
      <c r="E1" s="1"/>
      <c r="F1" s="73" t="s">
        <v>381</v>
      </c>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5"/>
      <c r="AM1" s="25"/>
      <c r="AN1" s="25"/>
      <c r="AO1" s="1"/>
      <c r="AP1" s="1"/>
      <c r="AQ1" s="1"/>
      <c r="AR1" s="1"/>
      <c r="AS1" s="1"/>
      <c r="AT1" s="1"/>
      <c r="AU1" s="1"/>
      <c r="AV1" s="1"/>
      <c r="AW1" s="1"/>
      <c r="AX1" s="1"/>
      <c r="AY1" s="1"/>
      <c r="AZ1" s="60"/>
      <c r="BA1" s="1"/>
      <c r="BB1" s="1"/>
      <c r="BC1" s="1"/>
      <c r="BD1" s="60"/>
      <c r="BE1" s="1"/>
      <c r="BF1" s="1"/>
    </row>
    <row r="2" spans="1:59" x14ac:dyDescent="0.25">
      <c r="F2" s="2" t="s">
        <v>2</v>
      </c>
      <c r="AL2" s="22"/>
      <c r="AM2" s="22"/>
      <c r="AN2" s="22"/>
      <c r="AY2" s="42"/>
      <c r="AZ2" s="61"/>
      <c r="BA2" s="42"/>
      <c r="BB2" s="42"/>
      <c r="BC2" s="42"/>
      <c r="BD2" s="61"/>
      <c r="BE2" s="42"/>
      <c r="BF2" s="42"/>
    </row>
    <row r="3" spans="1:59" s="3" customFormat="1" ht="18" customHeight="1" x14ac:dyDescent="0.25">
      <c r="A3" s="49"/>
      <c r="B3" s="203" t="s">
        <v>163</v>
      </c>
      <c r="C3" s="203"/>
      <c r="D3" s="203"/>
      <c r="E3" s="203"/>
      <c r="F3" s="74" t="s">
        <v>49</v>
      </c>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225" t="s">
        <v>176</v>
      </c>
      <c r="AV3" s="225"/>
      <c r="AW3" s="225"/>
      <c r="AX3" s="225"/>
      <c r="AY3" s="225"/>
      <c r="AZ3" s="225"/>
      <c r="BA3" s="225"/>
      <c r="BB3" s="225"/>
      <c r="BC3" s="225"/>
      <c r="BD3" s="225"/>
      <c r="BE3" s="225"/>
      <c r="BF3" s="225"/>
    </row>
    <row r="4" spans="1:59" s="4" customFormat="1" ht="3.95" customHeight="1" x14ac:dyDescent="0.25">
      <c r="B4" s="5"/>
      <c r="C4" s="5"/>
      <c r="D4" s="5"/>
      <c r="E4" s="5"/>
      <c r="F4" s="5"/>
      <c r="G4" s="5"/>
      <c r="H4" s="5"/>
      <c r="I4" s="5"/>
      <c r="J4" s="5"/>
      <c r="K4" s="5"/>
      <c r="L4" s="5"/>
      <c r="M4" s="5"/>
      <c r="N4" s="5"/>
      <c r="O4"/>
      <c r="P4" s="5"/>
      <c r="Q4" s="5"/>
      <c r="R4" s="7"/>
      <c r="S4" s="7"/>
      <c r="T4" s="7"/>
      <c r="U4" s="5"/>
      <c r="V4" s="5"/>
      <c r="W4" s="5"/>
      <c r="X4" s="5"/>
      <c r="Y4" s="5"/>
      <c r="Z4" s="5"/>
      <c r="AA4" s="5"/>
      <c r="AB4" s="5"/>
      <c r="AC4" s="5"/>
      <c r="AD4" s="5"/>
      <c r="AE4" s="5"/>
      <c r="AF4" s="5"/>
      <c r="AG4" s="5"/>
      <c r="AH4" s="5"/>
      <c r="AI4" s="5"/>
      <c r="AJ4" s="5"/>
      <c r="AK4" s="5"/>
      <c r="AL4" s="24"/>
      <c r="AM4" s="24"/>
      <c r="AN4" s="24"/>
      <c r="AO4" s="5"/>
      <c r="AP4" s="5"/>
      <c r="AQ4" s="5"/>
      <c r="AR4" s="5"/>
      <c r="AS4" s="5"/>
      <c r="AT4" s="5"/>
      <c r="AU4" s="133"/>
      <c r="AV4" s="133"/>
      <c r="AW4" s="133"/>
      <c r="AX4" s="133"/>
      <c r="AY4" s="133"/>
      <c r="AZ4" s="133"/>
      <c r="BA4" s="133"/>
      <c r="BB4" s="133"/>
      <c r="BC4" s="133"/>
      <c r="BD4" s="133"/>
      <c r="BE4" s="133"/>
      <c r="BF4" s="133"/>
    </row>
    <row r="5" spans="1:59" s="47" customFormat="1" ht="20.100000000000001" customHeight="1" x14ac:dyDescent="0.2">
      <c r="B5" s="214" t="s">
        <v>164</v>
      </c>
      <c r="C5" s="214"/>
      <c r="D5" s="214"/>
      <c r="F5" s="244" t="s">
        <v>5</v>
      </c>
      <c r="G5" s="244"/>
      <c r="H5" s="244"/>
      <c r="I5" s="244"/>
      <c r="J5" s="244"/>
      <c r="K5" s="244"/>
      <c r="L5" s="244"/>
      <c r="M5" s="244"/>
      <c r="N5" s="244"/>
      <c r="O5" s="244"/>
      <c r="P5" s="245" t="s">
        <v>150</v>
      </c>
      <c r="Q5" s="245"/>
      <c r="S5" s="243" t="s">
        <v>180</v>
      </c>
      <c r="T5" s="243"/>
      <c r="U5" s="243"/>
      <c r="V5" s="243"/>
      <c r="W5" s="134" t="s">
        <v>181</v>
      </c>
      <c r="X5" s="134" t="s">
        <v>227</v>
      </c>
      <c r="Y5" s="134" t="s">
        <v>373</v>
      </c>
      <c r="AA5" s="250" t="s">
        <v>183</v>
      </c>
      <c r="AB5" s="250"/>
      <c r="AC5" s="250"/>
      <c r="AD5" s="250"/>
      <c r="AE5" s="250"/>
      <c r="AF5" s="250"/>
      <c r="AG5" s="250"/>
      <c r="AH5" s="250"/>
      <c r="AI5" s="250"/>
      <c r="AJ5" s="250"/>
      <c r="AK5" s="250"/>
      <c r="AL5" s="250"/>
      <c r="AM5" s="250"/>
      <c r="AN5" s="250"/>
      <c r="AO5" s="48"/>
      <c r="AP5" s="48"/>
      <c r="AQ5" s="48"/>
      <c r="AR5" s="48"/>
      <c r="AS5" s="48"/>
      <c r="AT5" s="48"/>
      <c r="AU5" s="229" t="s">
        <v>367</v>
      </c>
      <c r="AV5" s="230"/>
      <c r="AW5" s="230"/>
      <c r="AX5" s="230"/>
      <c r="AY5" s="230"/>
      <c r="AZ5" s="230"/>
      <c r="BA5" s="230"/>
      <c r="BB5" s="230"/>
      <c r="BC5" s="230"/>
      <c r="BD5" s="230"/>
      <c r="BE5" s="230"/>
      <c r="BF5" s="230"/>
    </row>
    <row r="6" spans="1:59" s="47" customFormat="1" ht="20.100000000000001" customHeight="1" x14ac:dyDescent="0.2">
      <c r="B6" s="212" t="s">
        <v>165</v>
      </c>
      <c r="C6" s="213"/>
      <c r="D6" s="52" t="str">
        <f>UPPER(IF(ISERR(LEFT($F$6,1)&amp;MID($F$6,SEARCH(" ",$F$6)+1,1)
&amp;MID($F$6,SEARCH(" ",$F$6,SEARCH(" ",$F$6)+1)+1,1)
&amp;MID($F$6,SEARCH(" ",$F$6,SEARCH(" ",$F$6,SEARCH(" ",$F$6)+1)+1)+1,1)
&amp;MID($F$6,SEARCH(" ",$F$6,SEARCH(" ",$F$6,SEARCH(" ",$F$6,SEARCH(" ",
$F$6)+1)+1)+1)+1,1)),IF(ISERR(LEFT($F$6,1)&amp;MID($F$6,SEARCH(" ",$F$6)+1,1)
&amp;MID($F$6,SEARCH(" ",$F$6,SEARCH(" ",$F$6)+1)+1,1)
&amp;MID($F$6,SEARCH(" ",$F$6,SEARCH(" ",$F$6,SEARCH(" ",$F$6)+1)+1)+1,1)),
IF(ISERR(LEFT($F$6,1)&amp;MID($F$6,SEARCH(" ",$F$6)+1,1)
&amp;MID($F$6,SEARCH(" ",$F$6,SEARCH(" ",$F$6)+1)+1,1)),
IF(ISERR(LEFT($F$6,1)&amp;MID($F$6,SEARCH(" ",$F$6)+1,1)),
IF(ISERR(LEFT($F$6,1)),"",LEFT($F$6,1)),LEFT($F$6,1)
&amp;MID($F$6,SEARCH(" ",$F$6)+1,1)),LEFT($F$6,1)&amp;MID($F$6,SEARCH(" ",$F$6)+1,1)
&amp;MID($F$6,SEARCH(" ",$F$6,SEARCH(" ",$F$6)+1)+1,1)),
LEFT($F$6,1)&amp;MID($F$6,SEARCH(" ",$F$6)+1,1)
&amp;MID($F$6,SEARCH(" ",$F$6,SEARCH(" ",$F$6)+1)+1,1)
&amp;MID($F$6,SEARCH(" ",$F$6,SEARCH(" ",$F$6,SEARCH(" ",$F$6)+1)+1)+1,1)),LEFT($F$6,1)
&amp;MID($F$6,SEARCH(" ",$F$6)+1,1)&amp;MID($F$6,SEARCH(" ",$F$6,SEARCH(" ",$F$6)+1)+1,1)
&amp;MID($F$6,SEARCH(" ",$F$6,SEARCH(" ",$F$6,SEARCH(" ",$F$6)+1)+1)+1,1)
&amp;MID($F$6,SEARCH(" ",$F$6,SEARCH(" ",$F$6,SEARCH(" ",$F$6,SEARCH(" ",$F$6)+1)
+1)+1)+1,1)))</f>
        <v/>
      </c>
      <c r="F6" s="249"/>
      <c r="G6" s="249"/>
      <c r="H6" s="249"/>
      <c r="I6" s="249"/>
      <c r="J6" s="249"/>
      <c r="K6" s="249"/>
      <c r="L6" s="249"/>
      <c r="M6" s="249"/>
      <c r="N6" s="249"/>
      <c r="O6" s="249"/>
      <c r="P6" s="247"/>
      <c r="Q6" s="247"/>
      <c r="S6" s="219" t="s">
        <v>368</v>
      </c>
      <c r="T6" s="219"/>
      <c r="U6" s="248" t="s">
        <v>376</v>
      </c>
      <c r="V6" s="248"/>
      <c r="W6" s="137">
        <f>SUMIFS(TBL_FRF_DATA[FUNDS_REQUESTED],TBL_FRF_DATA[FUNDS_REQUESTED],"&gt;0",TBL_FRF_DATA[ADDRESS_STATE],"NJ",TBL_FRF_DATA[NONPROF_OR_TRIBAL_FLAG],FALSE)</f>
        <v>0</v>
      </c>
      <c r="X6" s="137">
        <f>SUMIFS(TBL_FRF_DATA[FUNDS_REQUESTED],TBL_FRF_DATA[FUNDS_REQUESTED],"&lt;0",TBL_FRF_DATA[ADDRESS_STATE],"NJ",TBL_FRF_DATA[NONPROF_OR_TRIBAL_FLAG],FALSE)</f>
        <v>0</v>
      </c>
      <c r="Y6" s="138">
        <f>SUM(W6:X6)</f>
        <v>0</v>
      </c>
      <c r="AA6" s="251" t="s">
        <v>442</v>
      </c>
      <c r="AB6" s="251"/>
      <c r="AC6" s="251"/>
      <c r="AD6" s="251"/>
      <c r="AE6" s="251"/>
      <c r="AF6" s="251"/>
      <c r="AG6" s="251"/>
      <c r="AH6" s="251"/>
      <c r="AI6" s="251"/>
      <c r="AJ6" s="251"/>
      <c r="AK6" s="251"/>
      <c r="AL6" s="251"/>
      <c r="AM6" s="251"/>
      <c r="AN6" s="251"/>
      <c r="AO6" s="48"/>
      <c r="AP6" s="48"/>
      <c r="AQ6" s="48"/>
      <c r="AR6" s="48"/>
      <c r="AS6" s="48"/>
      <c r="AT6" s="48"/>
      <c r="AU6" s="117"/>
      <c r="AV6" s="117"/>
      <c r="AW6" s="117"/>
      <c r="AX6" s="117"/>
      <c r="AY6" s="117"/>
      <c r="AZ6" s="117"/>
      <c r="BA6" s="117"/>
      <c r="BB6" s="117"/>
      <c r="BC6" s="117"/>
      <c r="BD6" s="117"/>
      <c r="BE6" s="117"/>
      <c r="BF6" s="117"/>
    </row>
    <row r="7" spans="1:59" s="47" customFormat="1" ht="20.100000000000001" customHeight="1" thickBot="1" x14ac:dyDescent="0.25">
      <c r="B7" s="212" t="s">
        <v>166</v>
      </c>
      <c r="C7" s="213"/>
      <c r="D7" s="52" t="str">
        <f>IF(APPLICATION_DATE&lt;&gt;"",TEXT(APPLICATION_DATE,"yymmdd"),"")</f>
        <v/>
      </c>
      <c r="S7" s="220"/>
      <c r="T7" s="220"/>
      <c r="U7" s="197" t="s">
        <v>375</v>
      </c>
      <c r="V7" s="197"/>
      <c r="W7" s="139">
        <f>SUMIFS(TBL_FRF_DATA[FUNDS_REQUESTED],TBL_FRF_DATA[FUNDS_REQUESTED],"&gt;0",TBL_FRF_DATA[ADDRESS_STATE],"NJ",TBL_FRF_DATA[NONPROF_OR_TRIBAL_FLAG],TRUE)</f>
        <v>0</v>
      </c>
      <c r="X7" s="139">
        <f>SUMIFS(TBL_FRF_DATA[FUNDS_REQUESTED],TBL_FRF_DATA[FUNDS_REQUESTED],"&lt;0",TBL_FRF_DATA[ADDRESS_STATE],"NJ",TBL_FRF_DATA[NONPROF_OR_TRIBAL_FLAG],TRUE)</f>
        <v>0</v>
      </c>
      <c r="Y7" s="140">
        <f t="shared" ref="Y7:Y10" si="0">SUM(W7:X7)</f>
        <v>0</v>
      </c>
      <c r="AA7" s="251"/>
      <c r="AB7" s="251"/>
      <c r="AC7" s="251"/>
      <c r="AD7" s="251"/>
      <c r="AE7" s="251"/>
      <c r="AF7" s="251"/>
      <c r="AG7" s="251"/>
      <c r="AH7" s="251"/>
      <c r="AI7" s="251"/>
      <c r="AJ7" s="251"/>
      <c r="AK7" s="251"/>
      <c r="AL7" s="251"/>
      <c r="AM7" s="251"/>
      <c r="AN7" s="251"/>
      <c r="AO7" s="48"/>
      <c r="AP7" s="48"/>
      <c r="AQ7" s="48"/>
      <c r="AR7" s="48"/>
      <c r="AS7" s="48"/>
      <c r="AT7" s="48"/>
      <c r="AU7" s="117"/>
      <c r="AV7" s="117"/>
      <c r="AW7" s="117"/>
      <c r="AX7" s="117"/>
      <c r="AY7" s="117"/>
      <c r="AZ7" s="117"/>
      <c r="BA7" s="117"/>
      <c r="BB7" s="117"/>
      <c r="BC7" s="117"/>
      <c r="BD7" s="117"/>
      <c r="BE7" s="117"/>
      <c r="BF7" s="117"/>
      <c r="BG7" s="56"/>
    </row>
    <row r="8" spans="1:59" s="47" customFormat="1" ht="20.100000000000001" customHeight="1" x14ac:dyDescent="0.2">
      <c r="B8" s="212" t="s">
        <v>168</v>
      </c>
      <c r="C8" s="213"/>
      <c r="D8" s="52" cm="1">
        <f t="array" ref="D8">NET_FUNDING_REQUEST</f>
        <v>0</v>
      </c>
      <c r="F8" s="243" t="s">
        <v>130</v>
      </c>
      <c r="G8" s="243"/>
      <c r="H8" s="243"/>
      <c r="I8" s="243"/>
      <c r="J8" s="243"/>
      <c r="K8" s="243"/>
      <c r="L8" s="243"/>
      <c r="M8" s="243"/>
      <c r="N8" s="243"/>
      <c r="O8" s="243"/>
      <c r="P8" s="243"/>
      <c r="Q8" s="243"/>
      <c r="S8" s="221" t="s">
        <v>292</v>
      </c>
      <c r="T8" s="221"/>
      <c r="U8" s="196" t="s">
        <v>376</v>
      </c>
      <c r="V8" s="196"/>
      <c r="W8" s="141">
        <f>SUMIFS(TBL_FRF_DATA[FUNDS_REQUESTED],TBL_FRF_DATA[FUNDS_REQUESTED],"&gt;0",TBL_FRF_DATA[ADDRESS_STATE],"NY",TBL_FRF_DATA[NONPROF_OR_TRIBAL_FLAG],FALSE)</f>
        <v>0</v>
      </c>
      <c r="X8" s="141">
        <f>SUMIFS(TBL_FRF_DATA[FUNDS_REQUESTED],TBL_FRF_DATA[FUNDS_REQUESTED],"&lt;0",TBL_FRF_DATA[ADDRESS_STATE],"NY",TBL_FRF_DATA[NONPROF_OR_TRIBAL_FLAG],FALSE)</f>
        <v>0</v>
      </c>
      <c r="Y8" s="142">
        <f t="shared" si="0"/>
        <v>0</v>
      </c>
      <c r="AA8" s="251"/>
      <c r="AB8" s="251"/>
      <c r="AC8" s="251"/>
      <c r="AD8" s="251"/>
      <c r="AE8" s="251"/>
      <c r="AF8" s="251"/>
      <c r="AG8" s="251"/>
      <c r="AH8" s="251"/>
      <c r="AI8" s="251"/>
      <c r="AJ8" s="251"/>
      <c r="AK8" s="251"/>
      <c r="AL8" s="251"/>
      <c r="AM8" s="251"/>
      <c r="AN8" s="251"/>
      <c r="AO8" s="48"/>
      <c r="AP8" s="48"/>
      <c r="AQ8" s="48"/>
      <c r="AR8" s="48"/>
      <c r="AS8" s="48"/>
      <c r="AT8" s="48"/>
      <c r="AU8" s="117"/>
      <c r="AV8" s="117"/>
      <c r="AW8" s="117"/>
      <c r="AX8" s="117"/>
      <c r="AY8" s="117"/>
      <c r="AZ8" s="117"/>
      <c r="BA8" s="117"/>
      <c r="BB8" s="117"/>
      <c r="BC8" s="117"/>
      <c r="BD8" s="117"/>
      <c r="BE8" s="117"/>
      <c r="BF8" s="117"/>
      <c r="BG8" s="56"/>
    </row>
    <row r="9" spans="1:59" s="47" customFormat="1" ht="20.100000000000001" customHeight="1" thickBot="1" x14ac:dyDescent="0.25">
      <c r="B9" s="212" t="s">
        <v>169</v>
      </c>
      <c r="C9" s="213"/>
      <c r="D9" s="52">
        <f>COUNTIF(TBL_FRF_DATA[REC_STATUS_CODE],1)</f>
        <v>0</v>
      </c>
      <c r="F9" s="205" t="s">
        <v>39</v>
      </c>
      <c r="G9" s="205"/>
      <c r="M9" s="107" t="s">
        <v>40</v>
      </c>
      <c r="N9" s="116"/>
      <c r="O9" s="108"/>
      <c r="P9" s="218" t="s">
        <v>160</v>
      </c>
      <c r="Q9" s="205"/>
      <c r="S9" s="220"/>
      <c r="T9" s="220"/>
      <c r="U9" s="197" t="s">
        <v>375</v>
      </c>
      <c r="V9" s="197"/>
      <c r="W9" s="139">
        <f>SUMIFS(TBL_FRF_DATA[FUNDS_REQUESTED],TBL_FRF_DATA[FUNDS_REQUESTED],"&gt;0",TBL_FRF_DATA[ADDRESS_STATE],"NY",TBL_FRF_DATA[NONPROF_OR_TRIBAL_FLAG],TRUE)</f>
        <v>0</v>
      </c>
      <c r="X9" s="139">
        <f>SUMIFS(TBL_FRF_DATA[FUNDS_REQUESTED],TBL_FRF_DATA[FUNDS_REQUESTED],"&lt;0",TBL_FRF_DATA[ADDRESS_STATE],"NY",TBL_FRF_DATA[NONPROF_OR_TRIBAL_FLAG],TRUE)</f>
        <v>0</v>
      </c>
      <c r="Y9" s="140">
        <f t="shared" si="0"/>
        <v>0</v>
      </c>
      <c r="AA9" s="251"/>
      <c r="AB9" s="251"/>
      <c r="AC9" s="251"/>
      <c r="AD9" s="251"/>
      <c r="AE9" s="251"/>
      <c r="AF9" s="251"/>
      <c r="AG9" s="251"/>
      <c r="AH9" s="251"/>
      <c r="AI9" s="251"/>
      <c r="AJ9" s="251"/>
      <c r="AK9" s="251"/>
      <c r="AL9" s="251"/>
      <c r="AM9" s="251"/>
      <c r="AN9" s="251"/>
      <c r="AO9" s="48"/>
      <c r="AP9" s="48"/>
      <c r="AQ9" s="48"/>
      <c r="AR9" s="48"/>
      <c r="AS9" s="48"/>
      <c r="AT9" s="48"/>
      <c r="AU9" s="117"/>
      <c r="AV9" s="117"/>
      <c r="AW9" s="117"/>
      <c r="AX9" s="117"/>
      <c r="AY9" s="117"/>
      <c r="AZ9" s="117"/>
      <c r="BA9" s="117"/>
      <c r="BB9" s="117"/>
      <c r="BC9" s="117"/>
      <c r="BD9" s="117"/>
      <c r="BE9" s="117"/>
      <c r="BF9" s="117"/>
      <c r="BG9" s="56"/>
    </row>
    <row r="10" spans="1:59" s="47" customFormat="1" ht="20.100000000000001" customHeight="1" x14ac:dyDescent="0.2">
      <c r="B10" s="212" t="s">
        <v>170</v>
      </c>
      <c r="C10" s="213"/>
      <c r="D10" s="52" t="str">
        <f>IF(D9&gt;0,INT(AVERAGE(TBL_FRF_DATA[ADDRESS_ZIP])/D9),"")</f>
        <v/>
      </c>
      <c r="F10" s="204">
        <v>1</v>
      </c>
      <c r="G10" s="204"/>
      <c r="M10" s="206" t="s">
        <v>41</v>
      </c>
      <c r="N10" s="207"/>
      <c r="O10" s="207"/>
      <c r="P10" s="224">
        <f>COUNTIF(TBL_FRF_DATA[REC_STATUS_CODE],1)</f>
        <v>0</v>
      </c>
      <c r="Q10" s="224"/>
      <c r="S10" s="221" t="s">
        <v>369</v>
      </c>
      <c r="T10" s="221"/>
      <c r="U10" s="196" t="s">
        <v>376</v>
      </c>
      <c r="V10" s="196"/>
      <c r="W10" s="143">
        <f>SUMIFS(TBL_FRF_DATA[FUNDS_REQUESTED],TBL_FRF_DATA[FUNDS_REQUESTED],"&gt;0",TBL_FRF_DATA[PR_OR_USVI_FLAG],TRUE,TBL_FRF_DATA[NONPROF_OR_TRIBAL_FLAG],FALSE)</f>
        <v>0</v>
      </c>
      <c r="X10" s="143">
        <f>SUMIFS(TBL_FRF_DATA[FUNDS_REQUESTED],TBL_FRF_DATA[FUNDS_REQUESTED],"&lt;0",TBL_FRF_DATA[PR_OR_USVI_FLAG],TRUE,TBL_FRF_DATA[NONPROF_OR_TRIBAL_FLAG],FALSE)</f>
        <v>0</v>
      </c>
      <c r="Y10" s="136">
        <f t="shared" si="0"/>
        <v>0</v>
      </c>
      <c r="AA10" s="251"/>
      <c r="AB10" s="251"/>
      <c r="AC10" s="251"/>
      <c r="AD10" s="251"/>
      <c r="AE10" s="251"/>
      <c r="AF10" s="251"/>
      <c r="AG10" s="251"/>
      <c r="AH10" s="251"/>
      <c r="AI10" s="251"/>
      <c r="AJ10" s="251"/>
      <c r="AK10" s="251"/>
      <c r="AL10" s="251"/>
      <c r="AM10" s="251"/>
      <c r="AN10" s="251"/>
      <c r="AO10" s="48"/>
      <c r="AP10" s="48"/>
      <c r="AQ10" s="48"/>
      <c r="AR10" s="48"/>
      <c r="AS10" s="48"/>
      <c r="AT10" s="48"/>
      <c r="AU10" s="117"/>
      <c r="AV10" s="117"/>
      <c r="AW10" s="117"/>
      <c r="AX10" s="117"/>
      <c r="AY10" s="117"/>
      <c r="AZ10" s="117"/>
      <c r="BA10" s="117"/>
      <c r="BB10" s="117"/>
      <c r="BC10" s="117"/>
      <c r="BD10" s="117"/>
      <c r="BE10" s="117"/>
      <c r="BF10" s="117"/>
      <c r="BG10" s="56"/>
    </row>
    <row r="11" spans="1:59" s="47" customFormat="1" ht="20.100000000000001" customHeight="1" thickBot="1" x14ac:dyDescent="0.25">
      <c r="B11" s="212" t="s">
        <v>205</v>
      </c>
      <c r="C11" s="213"/>
      <c r="D11" s="53" t="str">
        <f>IF(M22&lt;&gt;"",LEN(M22)&amp;UPPER(LEFT(M22,1))&amp;UPPER(RIGHT(M22,1)),"")</f>
        <v/>
      </c>
      <c r="F11" s="204">
        <v>0</v>
      </c>
      <c r="G11" s="204"/>
      <c r="M11" s="206" t="s">
        <v>159</v>
      </c>
      <c r="N11" s="207"/>
      <c r="O11" s="207"/>
      <c r="P11" s="224">
        <f>COUNTIF(TBL_FRF_DATA[REC_STATUS_CODE],0)</f>
        <v>0</v>
      </c>
      <c r="Q11" s="224"/>
      <c r="S11" s="222"/>
      <c r="T11" s="222"/>
      <c r="U11" s="198" t="s">
        <v>375</v>
      </c>
      <c r="V11" s="198"/>
      <c r="W11" s="144">
        <f>SUMIFS(TBL_FRF_DATA[FUNDS_REQUESTED],TBL_FRF_DATA[FUNDS_REQUESTED],"&gt;0",TBL_FRF_DATA[PR_OR_USVI_FLAG],TRUE,TBL_FRF_DATA[NONPROF_OR_TRIBAL_FLAG],TRUE)</f>
        <v>0</v>
      </c>
      <c r="X11" s="144">
        <f>SUMIFS(TBL_FRF_DATA[FUNDS_REQUESTED],TBL_FRF_DATA[FUNDS_REQUESTED],"&lt;0",TBL_FRF_DATA[PR_OR_USVI_FLAG],TRUE,TBL_FRF_DATA[NONPROF_OR_TRIBAL_FLAG],TRUE)</f>
        <v>0</v>
      </c>
      <c r="Y11" s="145">
        <f>SUM(W11:X11)</f>
        <v>0</v>
      </c>
      <c r="AA11" s="231" t="s">
        <v>149</v>
      </c>
      <c r="AB11" s="231"/>
      <c r="AC11" s="231"/>
      <c r="AD11" s="233" t="s">
        <v>438</v>
      </c>
      <c r="AE11" s="234"/>
      <c r="AF11" s="231" t="s">
        <v>148</v>
      </c>
      <c r="AG11" s="231"/>
      <c r="AH11" s="231"/>
      <c r="AI11" s="231" t="s">
        <v>147</v>
      </c>
      <c r="AJ11" s="231"/>
      <c r="AK11" s="231"/>
      <c r="AL11" s="231"/>
      <c r="AM11" s="231" t="s">
        <v>50</v>
      </c>
      <c r="AN11" s="231"/>
      <c r="AO11" s="48"/>
      <c r="AP11" s="48"/>
      <c r="AQ11" s="48"/>
      <c r="AR11" s="48"/>
      <c r="AS11" s="48"/>
      <c r="AT11" s="48"/>
      <c r="AU11" s="117"/>
      <c r="AV11" s="117"/>
      <c r="AW11" s="117"/>
      <c r="AX11" s="117"/>
      <c r="AY11" s="117"/>
      <c r="AZ11" s="117"/>
      <c r="BA11" s="117"/>
      <c r="BB11" s="117"/>
      <c r="BC11" s="117"/>
      <c r="BD11" s="117"/>
      <c r="BE11" s="117"/>
      <c r="BF11" s="117"/>
    </row>
    <row r="12" spans="1:59" s="48" customFormat="1" ht="20.100000000000001" customHeight="1" thickTop="1" x14ac:dyDescent="0.25">
      <c r="A12" s="57"/>
      <c r="B12" s="212" t="s">
        <v>167</v>
      </c>
      <c r="C12" s="213"/>
      <c r="D12" s="54" t="str">
        <f>CONCATENATE("CV19SBRG_",D6,"_",D7,"_",D8,"_",D9,"_",D10,"_",D11)</f>
        <v>CV19SBRG___0_0__</v>
      </c>
      <c r="F12" s="204">
        <v>-1</v>
      </c>
      <c r="G12" s="204"/>
      <c r="M12" s="206" t="s">
        <v>42</v>
      </c>
      <c r="N12" s="207"/>
      <c r="O12" s="207"/>
      <c r="P12" s="224">
        <f>COUNTIF(TBL_FRF_DATA[REC_STATUS_CODE],-1)</f>
        <v>0</v>
      </c>
      <c r="Q12" s="224"/>
      <c r="S12" s="223" t="s">
        <v>374</v>
      </c>
      <c r="T12" s="223"/>
      <c r="U12" s="199" t="s">
        <v>377</v>
      </c>
      <c r="V12" s="199"/>
      <c r="W12" s="136">
        <f>SUMIF(TBL_FRF_DATA[FUNDS_REQUESTED],"&gt;0",TBL_FRF_DATA[FUNDS_REQUESTED])</f>
        <v>0</v>
      </c>
      <c r="X12" s="136">
        <f>SUMIF(TBL_FRF_DATA[FUNDS_REQUESTED],"&lt;0",TBL_FRF_DATA[FUNDS_REQUESTED])</f>
        <v>0</v>
      </c>
      <c r="Y12" s="136">
        <f>SUM(W12:X12)</f>
        <v>0</v>
      </c>
      <c r="AA12" s="232"/>
      <c r="AB12" s="232"/>
      <c r="AC12" s="232"/>
      <c r="AD12" s="235"/>
      <c r="AE12" s="236"/>
      <c r="AF12" s="232"/>
      <c r="AG12" s="232"/>
      <c r="AH12" s="232"/>
      <c r="AI12" s="232"/>
      <c r="AJ12" s="232"/>
      <c r="AK12" s="232"/>
      <c r="AL12" s="232"/>
      <c r="AM12" s="247"/>
      <c r="AN12" s="247"/>
      <c r="AU12" s="117"/>
      <c r="AV12" s="117"/>
      <c r="AW12" s="117"/>
      <c r="AX12" s="117"/>
      <c r="AY12" s="117"/>
      <c r="AZ12" s="117"/>
      <c r="BA12" s="117"/>
      <c r="BB12" s="117"/>
      <c r="BC12" s="117"/>
      <c r="BD12" s="117"/>
      <c r="BE12" s="117"/>
      <c r="BF12" s="117"/>
    </row>
    <row r="13" spans="1:59" ht="18.75" customHeight="1" x14ac:dyDescent="0.25">
      <c r="A13" s="58"/>
      <c r="B13" s="58"/>
      <c r="C13" s="58"/>
      <c r="D13" s="58"/>
      <c r="E13" s="58"/>
      <c r="F13" s="58"/>
      <c r="G13" s="58"/>
      <c r="H13" s="58"/>
      <c r="I13" s="58"/>
      <c r="J13" s="58"/>
      <c r="K13" s="58"/>
      <c r="L13" s="58"/>
      <c r="M13" s="58"/>
      <c r="N13" s="58"/>
      <c r="O13" s="58"/>
      <c r="P13" s="58"/>
      <c r="Q13" s="58"/>
      <c r="R13" s="58"/>
      <c r="S13" s="135" t="s">
        <v>378</v>
      </c>
      <c r="T13" s="58"/>
      <c r="U13" s="58"/>
      <c r="AL13" s="22"/>
      <c r="AM13" s="22"/>
      <c r="AN13" s="22"/>
      <c r="AU13" s="117"/>
      <c r="AV13" s="117"/>
      <c r="AW13" s="117"/>
      <c r="AX13" s="117"/>
      <c r="AY13" s="117"/>
      <c r="AZ13" s="117"/>
      <c r="BA13" s="117"/>
      <c r="BB13" s="117"/>
      <c r="BC13" s="117"/>
      <c r="BD13" s="117"/>
      <c r="BE13" s="117"/>
      <c r="BF13" s="117"/>
    </row>
    <row r="14" spans="1:59" s="3" customFormat="1" ht="18" customHeight="1" thickBot="1" x14ac:dyDescent="0.3">
      <c r="A14" s="6"/>
      <c r="B14" s="203" t="s">
        <v>163</v>
      </c>
      <c r="C14" s="203"/>
      <c r="D14" s="203"/>
      <c r="E14" s="203"/>
      <c r="F14" s="75" t="s">
        <v>19</v>
      </c>
      <c r="G14" s="6"/>
      <c r="H14" s="6"/>
      <c r="I14" s="6"/>
      <c r="J14" s="6"/>
      <c r="K14" s="6"/>
      <c r="L14" s="6"/>
      <c r="M14" s="8"/>
      <c r="N14" s="8"/>
      <c r="O14" s="6"/>
      <c r="P14" s="6"/>
      <c r="Q14" s="6"/>
      <c r="R14" s="6"/>
      <c r="S14" s="6"/>
      <c r="T14" s="6"/>
      <c r="U14" s="6"/>
      <c r="V14" s="6"/>
      <c r="W14" s="6"/>
      <c r="X14" s="6"/>
      <c r="Y14" s="6"/>
      <c r="Z14" s="6"/>
      <c r="AA14" s="6"/>
      <c r="AB14" s="6"/>
      <c r="AC14" s="6"/>
      <c r="AD14" s="6"/>
      <c r="AE14" s="6"/>
      <c r="AF14" s="6"/>
      <c r="AG14" s="6"/>
      <c r="AH14" s="6"/>
      <c r="AI14" s="6"/>
      <c r="AJ14" s="6"/>
      <c r="AK14" s="6"/>
      <c r="AL14" s="23"/>
      <c r="AM14" s="132"/>
      <c r="AN14" s="132"/>
      <c r="AO14" s="6"/>
      <c r="AP14" s="6"/>
      <c r="AQ14" s="6"/>
      <c r="AR14" s="6"/>
      <c r="AS14" s="6"/>
      <c r="AT14" s="6"/>
      <c r="AU14" s="225" t="s">
        <v>177</v>
      </c>
      <c r="AV14" s="225"/>
      <c r="AW14" s="225"/>
      <c r="AX14" s="225"/>
      <c r="AY14" s="225"/>
      <c r="AZ14" s="225"/>
      <c r="BA14" s="225"/>
      <c r="BB14" s="225"/>
      <c r="BC14" s="225"/>
      <c r="BD14" s="225"/>
      <c r="BE14" s="225"/>
      <c r="BF14" s="225"/>
    </row>
    <row r="15" spans="1:59" s="4" customFormat="1" ht="3.95" customHeight="1" x14ac:dyDescent="0.2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24"/>
      <c r="AM15" s="24"/>
      <c r="AN15" s="24"/>
      <c r="AO15" s="5"/>
      <c r="AP15" s="5"/>
      <c r="AQ15" s="5"/>
      <c r="AR15" s="5"/>
      <c r="AS15" s="5"/>
      <c r="AT15" s="5"/>
      <c r="AU15" s="5"/>
      <c r="AV15" s="5"/>
      <c r="AW15" s="5"/>
      <c r="AX15" s="5"/>
      <c r="AY15" s="5"/>
      <c r="AZ15" s="62"/>
      <c r="BA15" s="5"/>
      <c r="BB15" s="5"/>
      <c r="BC15" s="5"/>
      <c r="BD15" s="62"/>
      <c r="BE15" s="5"/>
      <c r="BF15" s="5"/>
    </row>
    <row r="16" spans="1:59" s="4" customFormat="1" ht="21" customHeight="1" x14ac:dyDescent="0.2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246" t="s">
        <v>351</v>
      </c>
      <c r="AG16" s="246"/>
      <c r="AH16" s="246"/>
      <c r="AI16" s="246"/>
      <c r="AJ16" s="246"/>
      <c r="AK16" s="246"/>
      <c r="AL16" s="246"/>
      <c r="AM16" s="246"/>
      <c r="AN16" s="246"/>
      <c r="AO16" s="246"/>
      <c r="AP16" s="246"/>
      <c r="AQ16" s="246"/>
      <c r="AR16" s="246"/>
      <c r="AS16" s="246"/>
      <c r="AT16" s="246"/>
      <c r="AU16" s="5"/>
      <c r="AV16" s="5"/>
      <c r="AW16" s="5"/>
      <c r="AX16" s="5"/>
      <c r="AY16" s="5"/>
      <c r="AZ16" s="62"/>
      <c r="BA16" s="5"/>
      <c r="BB16" s="5"/>
      <c r="BC16" s="5"/>
      <c r="BD16" s="62"/>
      <c r="BE16" s="5"/>
      <c r="BF16" s="5"/>
    </row>
    <row r="17" spans="2:58" ht="18" customHeight="1" x14ac:dyDescent="0.25">
      <c r="B17" s="200" t="s">
        <v>162</v>
      </c>
      <c r="C17" s="201"/>
      <c r="D17" s="201"/>
      <c r="E17" s="202"/>
      <c r="F17" s="50"/>
      <c r="G17" s="51"/>
      <c r="H17" s="71" t="s">
        <v>231</v>
      </c>
      <c r="I17" s="72"/>
      <c r="J17" s="72"/>
      <c r="K17" s="72"/>
      <c r="L17" s="72"/>
      <c r="M17" s="215" t="s">
        <v>338</v>
      </c>
      <c r="N17" s="216"/>
      <c r="O17" s="216"/>
      <c r="P17" s="216"/>
      <c r="Q17" s="216"/>
      <c r="R17" s="216"/>
      <c r="S17" s="216"/>
      <c r="T17" s="217"/>
      <c r="U17" s="215" t="s">
        <v>53</v>
      </c>
      <c r="V17" s="216"/>
      <c r="W17" s="216"/>
      <c r="X17" s="216"/>
      <c r="Y17" s="216"/>
      <c r="Z17" s="217"/>
      <c r="AA17" s="215" t="s">
        <v>340</v>
      </c>
      <c r="AB17" s="216"/>
      <c r="AC17" s="216"/>
      <c r="AD17" s="216"/>
      <c r="AE17" s="217"/>
      <c r="AF17" s="237" t="s">
        <v>352</v>
      </c>
      <c r="AG17" s="238"/>
      <c r="AH17" s="238"/>
      <c r="AI17" s="238"/>
      <c r="AJ17" s="238"/>
      <c r="AK17" s="238"/>
      <c r="AL17" s="239"/>
      <c r="AM17" s="240" t="s">
        <v>364</v>
      </c>
      <c r="AN17" s="241"/>
      <c r="AO17" s="240" t="s">
        <v>353</v>
      </c>
      <c r="AP17" s="241"/>
      <c r="AQ17" s="241"/>
      <c r="AR17" s="241"/>
      <c r="AS17" s="241"/>
      <c r="AT17" s="242"/>
      <c r="AU17" s="226" t="s">
        <v>203</v>
      </c>
      <c r="AV17" s="226"/>
      <c r="AW17" s="226"/>
      <c r="AX17" s="226"/>
      <c r="AY17" s="227" t="s">
        <v>145</v>
      </c>
      <c r="AZ17" s="226"/>
      <c r="BA17" s="226"/>
      <c r="BB17" s="226"/>
      <c r="BC17" s="226" t="s">
        <v>146</v>
      </c>
      <c r="BD17" s="226"/>
      <c r="BE17" s="226"/>
      <c r="BF17" s="228"/>
    </row>
    <row r="18" spans="2:58" s="31" customFormat="1" ht="14.25" customHeight="1" x14ac:dyDescent="0.2">
      <c r="B18" s="188" t="s">
        <v>17</v>
      </c>
      <c r="C18" s="188" t="s">
        <v>17</v>
      </c>
      <c r="D18" s="188" t="s">
        <v>17</v>
      </c>
      <c r="E18" s="188" t="s">
        <v>17</v>
      </c>
      <c r="F18" s="208" t="s">
        <v>6</v>
      </c>
      <c r="G18" s="208" t="s">
        <v>161</v>
      </c>
      <c r="H18" s="188" t="s">
        <v>171</v>
      </c>
      <c r="I18" s="188" t="s">
        <v>172</v>
      </c>
      <c r="J18" s="188" t="s">
        <v>173</v>
      </c>
      <c r="K18" s="188" t="s">
        <v>370</v>
      </c>
      <c r="L18" s="188" t="s">
        <v>371</v>
      </c>
      <c r="M18" s="210" t="s">
        <v>229</v>
      </c>
      <c r="N18" s="185" t="s">
        <v>234</v>
      </c>
      <c r="O18" s="185" t="s">
        <v>151</v>
      </c>
      <c r="P18" s="210" t="s">
        <v>152</v>
      </c>
      <c r="Q18" s="210" t="s">
        <v>153</v>
      </c>
      <c r="R18" s="210" t="s">
        <v>154</v>
      </c>
      <c r="S18" s="185" t="s">
        <v>155</v>
      </c>
      <c r="T18" s="185" t="s">
        <v>238</v>
      </c>
      <c r="U18" s="185" t="s">
        <v>156</v>
      </c>
      <c r="V18" s="185" t="s">
        <v>157</v>
      </c>
      <c r="W18" s="185" t="s">
        <v>332</v>
      </c>
      <c r="X18" s="185" t="s">
        <v>158</v>
      </c>
      <c r="Y18" s="185" t="s">
        <v>226</v>
      </c>
      <c r="Z18" s="185" t="s">
        <v>339</v>
      </c>
      <c r="AA18" s="185" t="s">
        <v>201</v>
      </c>
      <c r="AB18" s="194" t="s">
        <v>190</v>
      </c>
      <c r="AC18" s="185" t="s">
        <v>343</v>
      </c>
      <c r="AD18" s="185" t="s">
        <v>350</v>
      </c>
      <c r="AE18" s="185" t="s">
        <v>341</v>
      </c>
      <c r="AF18" s="185" t="s">
        <v>202</v>
      </c>
      <c r="AG18" s="185" t="s">
        <v>193</v>
      </c>
      <c r="AH18" s="187" t="s">
        <v>186</v>
      </c>
      <c r="AI18" s="187"/>
      <c r="AJ18" s="187" t="s">
        <v>208</v>
      </c>
      <c r="AK18" s="187"/>
      <c r="AL18" s="185" t="s">
        <v>196</v>
      </c>
      <c r="AM18" s="185" t="s">
        <v>362</v>
      </c>
      <c r="AN18" s="185" t="s">
        <v>365</v>
      </c>
      <c r="AO18" s="185" t="s">
        <v>446</v>
      </c>
      <c r="AP18" s="185" t="s">
        <v>444</v>
      </c>
      <c r="AQ18" s="185" t="s">
        <v>440</v>
      </c>
      <c r="AR18" s="185" t="s">
        <v>445</v>
      </c>
      <c r="AS18" s="185" t="s">
        <v>360</v>
      </c>
      <c r="AT18" s="185" t="s">
        <v>354</v>
      </c>
      <c r="AU18" s="185" t="s">
        <v>220</v>
      </c>
      <c r="AV18" s="185" t="s">
        <v>212</v>
      </c>
      <c r="AW18" s="185" t="s">
        <v>196</v>
      </c>
      <c r="AX18" s="190" t="s">
        <v>132</v>
      </c>
      <c r="AY18" s="192" t="s">
        <v>131</v>
      </c>
      <c r="AZ18" s="183" t="s">
        <v>0</v>
      </c>
      <c r="BA18" s="185" t="s">
        <v>178</v>
      </c>
      <c r="BB18" s="190" t="s">
        <v>132</v>
      </c>
      <c r="BC18" s="192" t="s">
        <v>131</v>
      </c>
      <c r="BD18" s="183" t="s">
        <v>0</v>
      </c>
      <c r="BE18" s="185" t="s">
        <v>178</v>
      </c>
      <c r="BF18" s="185" t="s">
        <v>132</v>
      </c>
    </row>
    <row r="19" spans="2:58" ht="18.75" customHeight="1" thickBot="1" x14ac:dyDescent="0.3">
      <c r="B19" s="189"/>
      <c r="C19" s="189" t="s">
        <v>17</v>
      </c>
      <c r="D19" s="189" t="s">
        <v>17</v>
      </c>
      <c r="E19" s="189" t="s">
        <v>17</v>
      </c>
      <c r="F19" s="209"/>
      <c r="G19" s="209"/>
      <c r="H19" s="189"/>
      <c r="I19" s="189"/>
      <c r="J19" s="189"/>
      <c r="K19" s="189"/>
      <c r="L19" s="189"/>
      <c r="M19" s="211"/>
      <c r="N19" s="186"/>
      <c r="O19" s="186"/>
      <c r="P19" s="211"/>
      <c r="Q19" s="211"/>
      <c r="R19" s="211"/>
      <c r="S19" s="186"/>
      <c r="T19" s="186"/>
      <c r="U19" s="186"/>
      <c r="V19" s="186"/>
      <c r="W19" s="186"/>
      <c r="X19" s="186"/>
      <c r="Y19" s="186"/>
      <c r="Z19" s="186"/>
      <c r="AA19" s="186"/>
      <c r="AB19" s="195"/>
      <c r="AC19" s="186"/>
      <c r="AD19" s="186"/>
      <c r="AE19" s="186"/>
      <c r="AF19" s="186"/>
      <c r="AG19" s="186"/>
      <c r="AH19" s="111" t="s">
        <v>210</v>
      </c>
      <c r="AI19" s="93" t="s">
        <v>209</v>
      </c>
      <c r="AJ19" s="110" t="s">
        <v>210</v>
      </c>
      <c r="AK19" s="93" t="s">
        <v>209</v>
      </c>
      <c r="AL19" s="186"/>
      <c r="AM19" s="186"/>
      <c r="AN19" s="186"/>
      <c r="AO19" s="186"/>
      <c r="AP19" s="186"/>
      <c r="AQ19" s="186"/>
      <c r="AR19" s="186"/>
      <c r="AS19" s="186"/>
      <c r="AT19" s="186"/>
      <c r="AU19" s="186"/>
      <c r="AV19" s="186"/>
      <c r="AW19" s="186"/>
      <c r="AX19" s="191"/>
      <c r="AY19" s="193"/>
      <c r="AZ19" s="184"/>
      <c r="BA19" s="186"/>
      <c r="BB19" s="191"/>
      <c r="BC19" s="193"/>
      <c r="BD19" s="184"/>
      <c r="BE19" s="186"/>
      <c r="BF19" s="186"/>
    </row>
    <row r="20" spans="2:58" s="30" customFormat="1" ht="20.100000000000001" customHeight="1" thickBot="1" x14ac:dyDescent="0.3">
      <c r="B20" s="38"/>
      <c r="C20" s="38"/>
      <c r="D20" s="38"/>
      <c r="E20" s="38"/>
      <c r="F20" s="37">
        <v>1</v>
      </c>
      <c r="G20" s="36" t="s">
        <v>3</v>
      </c>
      <c r="H20" s="36"/>
      <c r="I20" s="38"/>
      <c r="J20" s="38"/>
      <c r="K20" s="38"/>
      <c r="L20" s="38"/>
      <c r="M20" s="119" t="s">
        <v>188</v>
      </c>
      <c r="N20" s="119" t="s">
        <v>236</v>
      </c>
      <c r="O20" s="119" t="s">
        <v>326</v>
      </c>
      <c r="P20" s="119" t="s">
        <v>325</v>
      </c>
      <c r="Q20" s="39" t="s">
        <v>241</v>
      </c>
      <c r="R20" s="40">
        <v>10606</v>
      </c>
      <c r="S20" s="119" t="s">
        <v>320</v>
      </c>
      <c r="T20" s="39" t="s">
        <v>223</v>
      </c>
      <c r="U20" s="41">
        <v>10000</v>
      </c>
      <c r="V20" s="121" t="s">
        <v>47</v>
      </c>
      <c r="W20" s="121" t="s">
        <v>334</v>
      </c>
      <c r="X20" s="121" t="s">
        <v>324</v>
      </c>
      <c r="Y20" s="113" t="s">
        <v>223</v>
      </c>
      <c r="Z20" s="121" t="s">
        <v>323</v>
      </c>
      <c r="AA20" s="121" t="s">
        <v>37</v>
      </c>
      <c r="AB20" s="121" t="s">
        <v>219</v>
      </c>
      <c r="AC20" s="113" t="s">
        <v>344</v>
      </c>
      <c r="AD20" s="113" t="s">
        <v>345</v>
      </c>
      <c r="AE20" s="121" t="s">
        <v>342</v>
      </c>
      <c r="AF20" s="90">
        <v>445110</v>
      </c>
      <c r="AG20" s="113" t="s">
        <v>186</v>
      </c>
      <c r="AH20" s="105">
        <v>189000</v>
      </c>
      <c r="AI20" s="94">
        <v>32500000</v>
      </c>
      <c r="AJ20" s="102"/>
      <c r="AK20" s="99"/>
      <c r="AL20" s="39" t="s">
        <v>197</v>
      </c>
      <c r="AM20" s="39"/>
      <c r="AN20" s="39"/>
      <c r="AO20" s="146">
        <v>43466</v>
      </c>
      <c r="AP20" s="127">
        <v>20000</v>
      </c>
      <c r="AQ20" s="146">
        <f>DATE(2020,MONTH(AO20),DAY(AO20))</f>
        <v>43831</v>
      </c>
      <c r="AR20" s="127">
        <v>12500</v>
      </c>
      <c r="AS20" s="148">
        <f>(AP20-AR20)/AP20</f>
        <v>0.375</v>
      </c>
      <c r="AT20" s="113" t="str">
        <f>IF(AS20&gt;=REVENUE_DECLINE_THRESHOLD_ELIGIBILITY,"Yes","No")</f>
        <v>Yes</v>
      </c>
      <c r="AU20" s="77"/>
      <c r="AV20" s="77"/>
      <c r="AW20" s="77"/>
      <c r="AX20" s="77"/>
      <c r="AY20" s="78"/>
      <c r="AZ20" s="79"/>
      <c r="BA20" s="77"/>
      <c r="BB20" s="80"/>
      <c r="BC20" s="78"/>
      <c r="BD20" s="79"/>
      <c r="BE20" s="77"/>
      <c r="BF20" s="77"/>
    </row>
    <row r="21" spans="2:58" s="31" customFormat="1" ht="12.75" hidden="1" x14ac:dyDescent="0.2">
      <c r="B21" s="12" t="s">
        <v>8</v>
      </c>
      <c r="C21" s="12" t="s">
        <v>9</v>
      </c>
      <c r="D21" s="12" t="s">
        <v>10</v>
      </c>
      <c r="E21" s="12" t="s">
        <v>51</v>
      </c>
      <c r="F21" s="11" t="s">
        <v>7</v>
      </c>
      <c r="G21" s="9" t="s">
        <v>4</v>
      </c>
      <c r="H21" s="9" t="s">
        <v>174</v>
      </c>
      <c r="I21" s="12" t="s">
        <v>16</v>
      </c>
      <c r="J21" s="12" t="s">
        <v>52</v>
      </c>
      <c r="K21" s="12" t="s">
        <v>232</v>
      </c>
      <c r="L21" s="12" t="s">
        <v>372</v>
      </c>
      <c r="M21" s="10" t="s">
        <v>230</v>
      </c>
      <c r="N21" s="10" t="s">
        <v>233</v>
      </c>
      <c r="O21" s="10" t="s">
        <v>11</v>
      </c>
      <c r="P21" s="10" t="s">
        <v>18</v>
      </c>
      <c r="Q21" s="10" t="s">
        <v>12</v>
      </c>
      <c r="R21" s="10" t="s">
        <v>13</v>
      </c>
      <c r="S21" s="10" t="s">
        <v>14</v>
      </c>
      <c r="T21" s="10" t="s">
        <v>239</v>
      </c>
      <c r="U21" s="10" t="s">
        <v>15</v>
      </c>
      <c r="V21" s="88" t="s">
        <v>44</v>
      </c>
      <c r="W21" s="88" t="s">
        <v>333</v>
      </c>
      <c r="X21" s="10" t="s">
        <v>48</v>
      </c>
      <c r="Y21" s="10" t="s">
        <v>222</v>
      </c>
      <c r="Z21" s="10" t="s">
        <v>327</v>
      </c>
      <c r="AA21" s="89" t="s">
        <v>189</v>
      </c>
      <c r="AB21" s="89" t="s">
        <v>191</v>
      </c>
      <c r="AC21" s="88" t="s">
        <v>347</v>
      </c>
      <c r="AD21" s="88" t="s">
        <v>349</v>
      </c>
      <c r="AE21" s="88" t="s">
        <v>221</v>
      </c>
      <c r="AF21" s="91" t="s">
        <v>192</v>
      </c>
      <c r="AG21" s="89" t="s">
        <v>185</v>
      </c>
      <c r="AH21" s="96" t="s">
        <v>194</v>
      </c>
      <c r="AI21" s="95" t="s">
        <v>199</v>
      </c>
      <c r="AJ21" s="103" t="s">
        <v>195</v>
      </c>
      <c r="AK21" s="100" t="s">
        <v>200</v>
      </c>
      <c r="AL21" s="10" t="s">
        <v>198</v>
      </c>
      <c r="AM21" s="59" t="s">
        <v>363</v>
      </c>
      <c r="AN21" s="59" t="s">
        <v>366</v>
      </c>
      <c r="AO21" s="88" t="s">
        <v>379</v>
      </c>
      <c r="AP21" s="88" t="s">
        <v>356</v>
      </c>
      <c r="AQ21" s="88" t="s">
        <v>380</v>
      </c>
      <c r="AR21" s="88" t="s">
        <v>357</v>
      </c>
      <c r="AS21" s="88" t="s">
        <v>358</v>
      </c>
      <c r="AT21" s="88" t="s">
        <v>355</v>
      </c>
      <c r="AU21" s="59" t="s">
        <v>206</v>
      </c>
      <c r="AV21" s="59" t="s">
        <v>207</v>
      </c>
      <c r="AW21" s="59" t="s">
        <v>179</v>
      </c>
      <c r="AX21" s="59" t="s">
        <v>204</v>
      </c>
      <c r="AY21" s="44" t="s">
        <v>137</v>
      </c>
      <c r="AZ21" s="63" t="s">
        <v>138</v>
      </c>
      <c r="BA21" s="43" t="s">
        <v>139</v>
      </c>
      <c r="BB21" s="46" t="s">
        <v>140</v>
      </c>
      <c r="BC21" s="45" t="s">
        <v>141</v>
      </c>
      <c r="BD21" s="63" t="s">
        <v>142</v>
      </c>
      <c r="BE21" s="43" t="s">
        <v>143</v>
      </c>
      <c r="BF21" s="43" t="s">
        <v>144</v>
      </c>
    </row>
    <row r="22" spans="2:58" s="30" customFormat="1" ht="26.25" customHeight="1" x14ac:dyDescent="0.25">
      <c r="B22"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2"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2"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2" s="29" t="b">
        <f>AND(TBL_FRF_DATA[[#This Row],[RECORD_STARTED]],(COUNTIFS(TBL_FRF_DATA[RECORD_STARTED],FALSE,TBL_FRF_DATA[ROW_ID],"&lt;"&amp;TBL_FRF_DATA[[#This Row],[ROW_ID]])&gt;0))</f>
        <v>0</v>
      </c>
      <c r="F22" s="27" t="str">
        <f>IF(TBL_FRF_DATA[[#This Row],[RECORD_STARTED]],IF(TBL_FRF_DATA[[#This Row],[ERROR_COUNT]]&gt;0,-1,IF(TBL_FRF_DATA[[#This Row],[REQ_FIELDS_POP]],1,0)),"")</f>
        <v/>
      </c>
      <c r="G22" s="29">
        <f>ROW()-ROW(TBL_FRF_DATA[[#Headers],[ROW_ID]])</f>
        <v>1</v>
      </c>
      <c r="H22" s="55">
        <f t="shared" ref="H22:H71" si="1">APPLICATION_DATE</f>
        <v>0</v>
      </c>
      <c r="I22" s="28" t="str">
        <f t="shared" ref="I22:I71" si="2">FRF_ID</f>
        <v>CV19SBRG___0_0__</v>
      </c>
      <c r="J22" s="28" t="str">
        <f t="shared" ref="J22:J71" si="3">FRF_ID_MEMBER_ID</f>
        <v/>
      </c>
      <c r="K22" s="28" t="b">
        <f>OR(TBL_FRF_DATA[[#This Row],[ORGANIZATION_TYPE]]=RANGE_ORG_TYPE_NONPROFIT,TBL_FRF_DATA[[#This Row],[TRIBAL_LAND_FLAG]]=RANGE_YESNO_YES)</f>
        <v>0</v>
      </c>
      <c r="L22" s="28" t="b">
        <f>OR(TBL_FRF_DATA[[#This Row],[ADDRESS_STATE]]="PR",TBL_FRF_DATA[[#This Row],[ADDRESS_STATE]]="VI")</f>
        <v>0</v>
      </c>
      <c r="M22" s="120"/>
      <c r="N22" s="120"/>
      <c r="O22" s="120"/>
      <c r="P22" s="120"/>
      <c r="Q22" s="32"/>
      <c r="R22" s="33"/>
      <c r="S22" s="118"/>
      <c r="T22" s="32"/>
      <c r="U22" s="34"/>
      <c r="V22" s="122"/>
      <c r="W22" s="122"/>
      <c r="X22" s="122"/>
      <c r="Y22" s="114"/>
      <c r="Z22" s="122"/>
      <c r="AA22" s="122"/>
      <c r="AB22" s="126"/>
      <c r="AC22" s="112"/>
      <c r="AD22" s="112"/>
      <c r="AE22" s="126"/>
      <c r="AF22" s="92"/>
      <c r="AG22" s="112"/>
      <c r="AH22" s="97"/>
      <c r="AI22" s="109"/>
      <c r="AJ22" s="104"/>
      <c r="AK22" s="101"/>
      <c r="AL22" s="29" t="str">
        <f>IF(OR(TBL_FRF_DATA[[#This Row],[ELIGIBILITY_BASIS]]="",$U22&lt;0),"",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2" s="125"/>
      <c r="AN22" s="29" t="str">
        <f>IF(AND(TBL_FRF_DATA[[#This Row],[ORGANIZATION_TYPE]]=RANGE_ORG_TYPE_NONPROFIT,TBL_FRF_DATA[[#This Row],[NP_ANNUAL_OP_BUDGET]]&lt;&gt;""),IF(TBL_FRF_DATA[[#This Row],[NP_ANNUAL_OP_BUDGET]]&lt;NP_ANNUAL_OPBUDGET_THRESHOLD_ELIGIBILITY,"Yes","No"),"")</f>
        <v/>
      </c>
      <c r="AO22" s="179" t="str">
        <f>IF(TBL_FRF_DATA[[#This Row],[RECORD_STARTED]],"1/1/2019","")</f>
        <v/>
      </c>
      <c r="AP22" s="124"/>
      <c r="AQ22" s="147" t="str">
        <f>IF(TBL_FRF_DATA[[#This Row],[REVENUE_2019_PERIOD_START]]="","",DATE(YEAR(TBL_FRF_DATA[[#This Row],[REVENUE_2019_PERIOD_START]])+1,MONTH(TBL_FRF_DATA[[#This Row],[REVENUE_2019_PERIOD_START]]),DAY(TBL_FRF_DATA[[#This Row],[REVENUE_2019_PERIOD_START]])))</f>
        <v/>
      </c>
      <c r="AR22" s="124"/>
      <c r="AS22" s="130" t="str">
        <f>IF(AND(TBL_FRF_DATA[[#This Row],[REVENUE_2019_AMT]]&lt;&gt;"",TBL_FRF_DATA[[#This Row],[REVENUE_2020_AMT]]&lt;&gt;""),(TBL_FRF_DATA[[#This Row],[REVENUE_2019_AMT]]-TBL_FRF_DATA[[#This Row],[REVENUE_2020_AMT]])/TBL_FRF_DATA[[#This Row],[REVENUE_2019_AMT]],"")</f>
        <v/>
      </c>
      <c r="AT22" s="129" t="str">
        <f>IF(TBL_FRF_DATA[[#This Row],[REVENUE_PCT_CHANGE]]&lt;&gt;"",IF(TBL_FRF_DATA[[#This Row],[REVENUE_PCT_CHANGE]]&gt;=REVENUE_DECLINE_THRESHOLD_ELIGIBILITY,"Yes","No"),"")</f>
        <v/>
      </c>
      <c r="AU22" s="115" t="str">
        <f>IF(TBL_FRF_DATA[[#This Row],[ELIGIBILITY_BASIS]]="","",IF(TBL_FRF_DATA[[#This Row],[ELIGIBILITY_BASIS]]=ELIG_BASIS_ANNUAL_RECEIPTS,IF(TBL_FRF_DATA[[#This Row],[ANNUAL_RECEIPTS]]="","",TBL_FRF_DATA[[#This Row],[ANNUAL_RECEIPTS]]),IF(TBL_FRF_DATA[[#This Row],[NUMBER_EMPLOYEES]]="","",TBL_FRF_DATA[[#This Row],[NUMBER_EMPLOYEES]])))</f>
        <v/>
      </c>
      <c r="AV22" s="106"/>
      <c r="AW22" s="64" t="str">
        <f>IF(OR(TBL_FRF_DATA[[#This Row],[SBA_ELIGIBILITY_BUSACTUAL_VALUE]]="",TBL_FRF_DATA[[#This Row],[SBA_ELIGIBILITY_MAX_VALUE]]=""),"",IF(TBL_FRF_DATA[[#This Row],[SBA_ELIGIBILITY_BUSACTUAL_VALUE]]&lt;=TBL_FRF_DATA[[#This Row],[SBA_ELIGIBILITY_MAX_VALUE]],"Yes","No"))</f>
        <v/>
      </c>
      <c r="AX22" s="65"/>
      <c r="AY22" s="81"/>
      <c r="AZ22" s="67"/>
      <c r="BA22" s="68"/>
      <c r="BB22" s="65"/>
      <c r="BC22" s="82"/>
      <c r="BD22" s="67"/>
      <c r="BE22" s="83"/>
      <c r="BF22" s="84"/>
    </row>
    <row r="23" spans="2:58" s="31" customFormat="1" ht="26.25" customHeight="1" x14ac:dyDescent="0.2">
      <c r="B23"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3"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3"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3" s="29" t="b">
        <f>AND(TBL_FRF_DATA[[#This Row],[RECORD_STARTED]],(COUNTIFS(TBL_FRF_DATA[RECORD_STARTED],FALSE,TBL_FRF_DATA[ROW_ID],"&lt;"&amp;TBL_FRF_DATA[[#This Row],[ROW_ID]])&gt;0))</f>
        <v>0</v>
      </c>
      <c r="F23" s="27" t="str">
        <f>IF(TBL_FRF_DATA[[#This Row],[RECORD_STARTED]],IF(TBL_FRF_DATA[[#This Row],[ERROR_COUNT]]&gt;0,-1,IF(TBL_FRF_DATA[[#This Row],[REQ_FIELDS_POP]],1,0)),"")</f>
        <v/>
      </c>
      <c r="G23" s="35">
        <f>ROW()-ROW(TBL_FRF_DATA[[#Headers],[ROW_ID]])</f>
        <v>2</v>
      </c>
      <c r="H23" s="55">
        <f t="shared" si="1"/>
        <v>0</v>
      </c>
      <c r="I23" s="28" t="str">
        <f t="shared" si="2"/>
        <v>CV19SBRG___0_0__</v>
      </c>
      <c r="J23" s="28" t="str">
        <f t="shared" si="3"/>
        <v/>
      </c>
      <c r="K23" s="28" t="b">
        <f>OR(TBL_FRF_DATA[[#This Row],[ORGANIZATION_TYPE]]=RANGE_ORG_TYPE_NONPROFIT,TBL_FRF_DATA[[#This Row],[TRIBAL_LAND_FLAG]]=RANGE_YESNO_YES)</f>
        <v>0</v>
      </c>
      <c r="L23" s="28" t="b">
        <f>OR(TBL_FRF_DATA[[#This Row],[ADDRESS_STATE]]="PR",TBL_FRF_DATA[[#This Row],[ADDRESS_STATE]]="VI")</f>
        <v>0</v>
      </c>
      <c r="M23" s="120"/>
      <c r="N23" s="120"/>
      <c r="O23" s="118"/>
      <c r="P23" s="118"/>
      <c r="Q23" s="32"/>
      <c r="R23" s="33"/>
      <c r="S23" s="118"/>
      <c r="T23" s="32"/>
      <c r="U23" s="34"/>
      <c r="V23" s="122"/>
      <c r="W23" s="122"/>
      <c r="X23" s="122"/>
      <c r="Y23" s="114"/>
      <c r="Z23" s="122"/>
      <c r="AA23" s="122"/>
      <c r="AB23" s="126"/>
      <c r="AC23" s="112"/>
      <c r="AD23" s="112"/>
      <c r="AE23" s="126"/>
      <c r="AF23" s="92"/>
      <c r="AG23" s="112"/>
      <c r="AH23" s="98"/>
      <c r="AI23" s="109"/>
      <c r="AJ23" s="104"/>
      <c r="AK23" s="101"/>
      <c r="AL23" s="29" t="str">
        <f>IF(OR(TBL_FRF_DATA[[#This Row],[ELIGIBILITY_BASIS]]="",$U23&lt;0),"",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3" s="125"/>
      <c r="AN23" s="29" t="str">
        <f>IF(AND(TBL_FRF_DATA[[#This Row],[ORGANIZATION_TYPE]]=RANGE_ORG_TYPE_NONPROFIT,TBL_FRF_DATA[[#This Row],[NP_ANNUAL_OP_BUDGET]]&lt;&gt;""),IF(TBL_FRF_DATA[[#This Row],[NP_ANNUAL_OP_BUDGET]]&lt;NP_ANNUAL_OPBUDGET_THRESHOLD_ELIGIBILITY,"Yes","No"),"")</f>
        <v/>
      </c>
      <c r="AO23" s="179" t="str">
        <f>IF(TBL_FRF_DATA[[#This Row],[RECORD_STARTED]],"1/1/2019","")</f>
        <v/>
      </c>
      <c r="AP23" s="124"/>
      <c r="AQ23" s="147" t="str">
        <f>IF(TBL_FRF_DATA[[#This Row],[REVENUE_2019_PERIOD_START]]="","",DATE(YEAR(TBL_FRF_DATA[[#This Row],[REVENUE_2019_PERIOD_START]])+1,MONTH(TBL_FRF_DATA[[#This Row],[REVENUE_2019_PERIOD_START]]),DAY(TBL_FRF_DATA[[#This Row],[REVENUE_2019_PERIOD_START]])))</f>
        <v/>
      </c>
      <c r="AR23" s="124"/>
      <c r="AS23" s="130" t="str">
        <f>IF(AND(TBL_FRF_DATA[[#This Row],[REVENUE_2019_AMT]]&lt;&gt;"",TBL_FRF_DATA[[#This Row],[REVENUE_2020_AMT]]&lt;&gt;""),(TBL_FRF_DATA[[#This Row],[REVENUE_2019_AMT]]-TBL_FRF_DATA[[#This Row],[REVENUE_2020_AMT]])/TBL_FRF_DATA[[#This Row],[REVENUE_2019_AMT]],"")</f>
        <v/>
      </c>
      <c r="AT23" s="129" t="str">
        <f>IF(TBL_FRF_DATA[[#This Row],[REVENUE_PCT_CHANGE]]&lt;&gt;"",IF(TBL_FRF_DATA[[#This Row],[REVENUE_PCT_CHANGE]]&gt;=REVENUE_DECLINE_THRESHOLD_ELIGIBILITY,"Yes","No"),"")</f>
        <v/>
      </c>
      <c r="AU23" s="115" t="str">
        <f>IF(TBL_FRF_DATA[[#This Row],[ELIGIBILITY_BASIS]]="","",IF(TBL_FRF_DATA[[#This Row],[ELIGIBILITY_BASIS]]=ELIG_BASIS_ANNUAL_RECEIPTS,IF(TBL_FRF_DATA[[#This Row],[ANNUAL_RECEIPTS]]="","",TBL_FRF_DATA[[#This Row],[ANNUAL_RECEIPTS]]),IF(TBL_FRF_DATA[[#This Row],[NUMBER_EMPLOYEES]]="","",TBL_FRF_DATA[[#This Row],[NUMBER_EMPLOYEES]])))</f>
        <v/>
      </c>
      <c r="AV23" s="106"/>
      <c r="AW23" s="64" t="str">
        <f>IF(OR(TBL_FRF_DATA[[#This Row],[SBA_ELIGIBILITY_BUSACTUAL_VALUE]]="",TBL_FRF_DATA[[#This Row],[SBA_ELIGIBILITY_MAX_VALUE]]=""),"",IF(TBL_FRF_DATA[[#This Row],[SBA_ELIGIBILITY_BUSACTUAL_VALUE]]&lt;=TBL_FRF_DATA[[#This Row],[SBA_ELIGIBILITY_MAX_VALUE]],"Yes","No"))</f>
        <v/>
      </c>
      <c r="AX23" s="65"/>
      <c r="AY23" s="66"/>
      <c r="AZ23" s="67"/>
      <c r="BA23" s="68"/>
      <c r="BB23" s="65"/>
      <c r="BC23" s="69"/>
      <c r="BD23" s="67"/>
      <c r="BE23" s="68"/>
      <c r="BF23" s="70"/>
    </row>
    <row r="24" spans="2:58" s="31" customFormat="1" ht="26.25" customHeight="1" x14ac:dyDescent="0.2">
      <c r="B24"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4"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4"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4" s="29" t="b">
        <f>AND(TBL_FRF_DATA[[#This Row],[RECORD_STARTED]],(COUNTIFS(TBL_FRF_DATA[RECORD_STARTED],FALSE,TBL_FRF_DATA[ROW_ID],"&lt;"&amp;TBL_FRF_DATA[[#This Row],[ROW_ID]])&gt;0))</f>
        <v>0</v>
      </c>
      <c r="F24" s="27" t="str">
        <f>IF(TBL_FRF_DATA[[#This Row],[RECORD_STARTED]],IF(TBL_FRF_DATA[[#This Row],[ERROR_COUNT]]&gt;0,-1,IF(TBL_FRF_DATA[[#This Row],[REQ_FIELDS_POP]],1,0)),"")</f>
        <v/>
      </c>
      <c r="G24" s="35">
        <f>ROW()-ROW(TBL_FRF_DATA[[#Headers],[ROW_ID]])</f>
        <v>3</v>
      </c>
      <c r="H24" s="55">
        <f t="shared" si="1"/>
        <v>0</v>
      </c>
      <c r="I24" s="28" t="str">
        <f t="shared" si="2"/>
        <v>CV19SBRG___0_0__</v>
      </c>
      <c r="J24" s="28" t="str">
        <f t="shared" si="3"/>
        <v/>
      </c>
      <c r="K24" s="28" t="b">
        <f>OR(TBL_FRF_DATA[[#This Row],[ORGANIZATION_TYPE]]=RANGE_ORG_TYPE_NONPROFIT,TBL_FRF_DATA[[#This Row],[TRIBAL_LAND_FLAG]]=RANGE_YESNO_YES)</f>
        <v>0</v>
      </c>
      <c r="L24" s="28" t="b">
        <f>OR(TBL_FRF_DATA[[#This Row],[ADDRESS_STATE]]="PR",TBL_FRF_DATA[[#This Row],[ADDRESS_STATE]]="VI")</f>
        <v>0</v>
      </c>
      <c r="M24" s="120"/>
      <c r="N24" s="120"/>
      <c r="O24" s="118"/>
      <c r="P24" s="118"/>
      <c r="Q24" s="32"/>
      <c r="R24" s="33"/>
      <c r="S24" s="118"/>
      <c r="T24" s="32"/>
      <c r="U24" s="34"/>
      <c r="V24" s="122"/>
      <c r="W24" s="122"/>
      <c r="X24" s="122"/>
      <c r="Y24" s="114"/>
      <c r="Z24" s="122"/>
      <c r="AA24" s="122"/>
      <c r="AB24" s="126"/>
      <c r="AC24" s="112"/>
      <c r="AD24" s="112"/>
      <c r="AE24" s="126"/>
      <c r="AF24" s="92"/>
      <c r="AG24" s="112"/>
      <c r="AH24" s="98"/>
      <c r="AI24" s="109"/>
      <c r="AJ24" s="104"/>
      <c r="AK24" s="101"/>
      <c r="AL24" s="29" t="str">
        <f>IF(OR(TBL_FRF_DATA[[#This Row],[ELIGIBILITY_BASIS]]="",$U24&lt;0),"",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4" s="125"/>
      <c r="AN24" s="29" t="str">
        <f>IF(AND(TBL_FRF_DATA[[#This Row],[ORGANIZATION_TYPE]]=RANGE_ORG_TYPE_NONPROFIT,TBL_FRF_DATA[[#This Row],[NP_ANNUAL_OP_BUDGET]]&lt;&gt;""),IF(TBL_FRF_DATA[[#This Row],[NP_ANNUAL_OP_BUDGET]]&lt;NP_ANNUAL_OPBUDGET_THRESHOLD_ELIGIBILITY,"Yes","No"),"")</f>
        <v/>
      </c>
      <c r="AO24" s="179" t="str">
        <f>IF(TBL_FRF_DATA[[#This Row],[RECORD_STARTED]],"1/1/2019","")</f>
        <v/>
      </c>
      <c r="AP24" s="124"/>
      <c r="AQ24" s="147" t="str">
        <f>IF(TBL_FRF_DATA[[#This Row],[REVENUE_2019_PERIOD_START]]="","",DATE(YEAR(TBL_FRF_DATA[[#This Row],[REVENUE_2019_PERIOD_START]])+1,MONTH(TBL_FRF_DATA[[#This Row],[REVENUE_2019_PERIOD_START]]),DAY(TBL_FRF_DATA[[#This Row],[REVENUE_2019_PERIOD_START]])))</f>
        <v/>
      </c>
      <c r="AR24" s="124"/>
      <c r="AS24" s="130" t="str">
        <f>IF(AND(TBL_FRF_DATA[[#This Row],[REVENUE_2019_AMT]]&lt;&gt;"",TBL_FRF_DATA[[#This Row],[REVENUE_2020_AMT]]&lt;&gt;""),(TBL_FRF_DATA[[#This Row],[REVENUE_2019_AMT]]-TBL_FRF_DATA[[#This Row],[REVENUE_2020_AMT]])/TBL_FRF_DATA[[#This Row],[REVENUE_2019_AMT]],"")</f>
        <v/>
      </c>
      <c r="AT24" s="129" t="str">
        <f>IF(TBL_FRF_DATA[[#This Row],[REVENUE_PCT_CHANGE]]&lt;&gt;"",IF(TBL_FRF_DATA[[#This Row],[REVENUE_PCT_CHANGE]]&gt;=REVENUE_DECLINE_THRESHOLD_ELIGIBILITY,"Yes","No"),"")</f>
        <v/>
      </c>
      <c r="AU24" s="115" t="str">
        <f>IF(TBL_FRF_DATA[[#This Row],[ELIGIBILITY_BASIS]]="","",IF(TBL_FRF_DATA[[#This Row],[ELIGIBILITY_BASIS]]=ELIG_BASIS_ANNUAL_RECEIPTS,IF(TBL_FRF_DATA[[#This Row],[ANNUAL_RECEIPTS]]="","",TBL_FRF_DATA[[#This Row],[ANNUAL_RECEIPTS]]),IF(TBL_FRF_DATA[[#This Row],[NUMBER_EMPLOYEES]]="","",TBL_FRF_DATA[[#This Row],[NUMBER_EMPLOYEES]])))</f>
        <v/>
      </c>
      <c r="AV24" s="106"/>
      <c r="AW24" s="64" t="str">
        <f>IF(OR(TBL_FRF_DATA[[#This Row],[SBA_ELIGIBILITY_BUSACTUAL_VALUE]]="",TBL_FRF_DATA[[#This Row],[SBA_ELIGIBILITY_MAX_VALUE]]=""),"",IF(TBL_FRF_DATA[[#This Row],[SBA_ELIGIBILITY_BUSACTUAL_VALUE]]&lt;=TBL_FRF_DATA[[#This Row],[SBA_ELIGIBILITY_MAX_VALUE]],"Yes","No"))</f>
        <v/>
      </c>
      <c r="AX24" s="65"/>
      <c r="AY24" s="66"/>
      <c r="AZ24" s="67"/>
      <c r="BA24" s="68"/>
      <c r="BB24" s="65"/>
      <c r="BC24" s="69"/>
      <c r="BD24" s="67"/>
      <c r="BE24" s="68"/>
      <c r="BF24" s="70"/>
    </row>
    <row r="25" spans="2:58" s="31" customFormat="1" ht="26.25" customHeight="1" x14ac:dyDescent="0.2">
      <c r="B25"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5"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5"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5" s="29" t="b">
        <f>AND(TBL_FRF_DATA[[#This Row],[RECORD_STARTED]],(COUNTIFS(TBL_FRF_DATA[RECORD_STARTED],FALSE,TBL_FRF_DATA[ROW_ID],"&lt;"&amp;TBL_FRF_DATA[[#This Row],[ROW_ID]])&gt;0))</f>
        <v>0</v>
      </c>
      <c r="F25" s="27" t="str">
        <f>IF(TBL_FRF_DATA[[#This Row],[RECORD_STARTED]],IF(TBL_FRF_DATA[[#This Row],[ERROR_COUNT]]&gt;0,-1,IF(TBL_FRF_DATA[[#This Row],[REQ_FIELDS_POP]],1,0)),"")</f>
        <v/>
      </c>
      <c r="G25" s="35">
        <f>ROW()-ROW(TBL_FRF_DATA[[#Headers],[ROW_ID]])</f>
        <v>4</v>
      </c>
      <c r="H25" s="55">
        <f t="shared" si="1"/>
        <v>0</v>
      </c>
      <c r="I25" s="28" t="str">
        <f t="shared" si="2"/>
        <v>CV19SBRG___0_0__</v>
      </c>
      <c r="J25" s="28" t="str">
        <f t="shared" si="3"/>
        <v/>
      </c>
      <c r="K25" s="28" t="b">
        <f>OR(TBL_FRF_DATA[[#This Row],[ORGANIZATION_TYPE]]=RANGE_ORG_TYPE_NONPROFIT,TBL_FRF_DATA[[#This Row],[TRIBAL_LAND_FLAG]]=RANGE_YESNO_YES)</f>
        <v>0</v>
      </c>
      <c r="L25" s="28" t="b">
        <f>OR(TBL_FRF_DATA[[#This Row],[ADDRESS_STATE]]="PR",TBL_FRF_DATA[[#This Row],[ADDRESS_STATE]]="VI")</f>
        <v>0</v>
      </c>
      <c r="M25" s="120"/>
      <c r="N25" s="120"/>
      <c r="O25" s="118"/>
      <c r="P25" s="118"/>
      <c r="Q25" s="32"/>
      <c r="R25" s="33"/>
      <c r="S25" s="118"/>
      <c r="T25" s="32"/>
      <c r="U25" s="34"/>
      <c r="V25" s="122"/>
      <c r="W25" s="122"/>
      <c r="X25" s="122"/>
      <c r="Y25" s="114"/>
      <c r="Z25" s="122"/>
      <c r="AA25" s="122"/>
      <c r="AB25" s="126"/>
      <c r="AC25" s="112"/>
      <c r="AD25" s="112"/>
      <c r="AE25" s="126"/>
      <c r="AF25" s="92"/>
      <c r="AG25" s="112"/>
      <c r="AH25" s="98"/>
      <c r="AI25" s="109"/>
      <c r="AJ25" s="104"/>
      <c r="AK25" s="101"/>
      <c r="AL25" s="29" t="str">
        <f>IF(OR(TBL_FRF_DATA[[#This Row],[ELIGIBILITY_BASIS]]="",$U25&lt;0),"",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5" s="125"/>
      <c r="AN25" s="29" t="str">
        <f>IF(AND(TBL_FRF_DATA[[#This Row],[ORGANIZATION_TYPE]]=RANGE_ORG_TYPE_NONPROFIT,TBL_FRF_DATA[[#This Row],[NP_ANNUAL_OP_BUDGET]]&lt;&gt;""),IF(TBL_FRF_DATA[[#This Row],[NP_ANNUAL_OP_BUDGET]]&lt;NP_ANNUAL_OPBUDGET_THRESHOLD_ELIGIBILITY,"Yes","No"),"")</f>
        <v/>
      </c>
      <c r="AO25" s="179" t="str">
        <f>IF(TBL_FRF_DATA[[#This Row],[RECORD_STARTED]],"1/1/2019","")</f>
        <v/>
      </c>
      <c r="AP25" s="124"/>
      <c r="AQ25" s="147" t="str">
        <f>IF(TBL_FRF_DATA[[#This Row],[REVENUE_2019_PERIOD_START]]="","",DATE(YEAR(TBL_FRF_DATA[[#This Row],[REVENUE_2019_PERIOD_START]])+1,MONTH(TBL_FRF_DATA[[#This Row],[REVENUE_2019_PERIOD_START]]),DAY(TBL_FRF_DATA[[#This Row],[REVENUE_2019_PERIOD_START]])))</f>
        <v/>
      </c>
      <c r="AR25" s="124"/>
      <c r="AS25" s="130" t="str">
        <f>IF(AND(TBL_FRF_DATA[[#This Row],[REVENUE_2019_AMT]]&lt;&gt;"",TBL_FRF_DATA[[#This Row],[REVENUE_2020_AMT]]&lt;&gt;""),(TBL_FRF_DATA[[#This Row],[REVENUE_2019_AMT]]-TBL_FRF_DATA[[#This Row],[REVENUE_2020_AMT]])/TBL_FRF_DATA[[#This Row],[REVENUE_2019_AMT]],"")</f>
        <v/>
      </c>
      <c r="AT25" s="129" t="str">
        <f>IF(TBL_FRF_DATA[[#This Row],[REVENUE_PCT_CHANGE]]&lt;&gt;"",IF(TBL_FRF_DATA[[#This Row],[REVENUE_PCT_CHANGE]]&gt;=REVENUE_DECLINE_THRESHOLD_ELIGIBILITY,"Yes","No"),"")</f>
        <v/>
      </c>
      <c r="AU25" s="115" t="str">
        <f>IF(TBL_FRF_DATA[[#This Row],[ELIGIBILITY_BASIS]]="","",IF(TBL_FRF_DATA[[#This Row],[ELIGIBILITY_BASIS]]=ELIG_BASIS_ANNUAL_RECEIPTS,IF(TBL_FRF_DATA[[#This Row],[ANNUAL_RECEIPTS]]="","",TBL_FRF_DATA[[#This Row],[ANNUAL_RECEIPTS]]),IF(TBL_FRF_DATA[[#This Row],[NUMBER_EMPLOYEES]]="","",TBL_FRF_DATA[[#This Row],[NUMBER_EMPLOYEES]])))</f>
        <v/>
      </c>
      <c r="AV25" s="106"/>
      <c r="AW25" s="64" t="str">
        <f>IF(OR(TBL_FRF_DATA[[#This Row],[SBA_ELIGIBILITY_BUSACTUAL_VALUE]]="",TBL_FRF_DATA[[#This Row],[SBA_ELIGIBILITY_MAX_VALUE]]=""),"",IF(TBL_FRF_DATA[[#This Row],[SBA_ELIGIBILITY_BUSACTUAL_VALUE]]&lt;=TBL_FRF_DATA[[#This Row],[SBA_ELIGIBILITY_MAX_VALUE]],"Yes","No"))</f>
        <v/>
      </c>
      <c r="AX25" s="65"/>
      <c r="AY25" s="66"/>
      <c r="AZ25" s="67"/>
      <c r="BA25" s="68"/>
      <c r="BB25" s="65"/>
      <c r="BC25" s="69"/>
      <c r="BD25" s="67"/>
      <c r="BE25" s="68"/>
      <c r="BF25" s="70"/>
    </row>
    <row r="26" spans="2:58" s="31" customFormat="1" ht="26.25" customHeight="1" x14ac:dyDescent="0.2">
      <c r="B26"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6"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6"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6" s="29" t="b">
        <f>AND(TBL_FRF_DATA[[#This Row],[RECORD_STARTED]],(COUNTIFS(TBL_FRF_DATA[RECORD_STARTED],FALSE,TBL_FRF_DATA[ROW_ID],"&lt;"&amp;TBL_FRF_DATA[[#This Row],[ROW_ID]])&gt;0))</f>
        <v>0</v>
      </c>
      <c r="F26" s="27" t="str">
        <f>IF(TBL_FRF_DATA[[#This Row],[RECORD_STARTED]],IF(TBL_FRF_DATA[[#This Row],[ERROR_COUNT]]&gt;0,-1,IF(TBL_FRF_DATA[[#This Row],[REQ_FIELDS_POP]],1,0)),"")</f>
        <v/>
      </c>
      <c r="G26" s="35">
        <f>ROW()-ROW(TBL_FRF_DATA[[#Headers],[ROW_ID]])</f>
        <v>5</v>
      </c>
      <c r="H26" s="55">
        <f t="shared" si="1"/>
        <v>0</v>
      </c>
      <c r="I26" s="28" t="str">
        <f t="shared" si="2"/>
        <v>CV19SBRG___0_0__</v>
      </c>
      <c r="J26" s="28" t="str">
        <f t="shared" si="3"/>
        <v/>
      </c>
      <c r="K26" s="28" t="b">
        <f>OR(TBL_FRF_DATA[[#This Row],[ORGANIZATION_TYPE]]=RANGE_ORG_TYPE_NONPROFIT,TBL_FRF_DATA[[#This Row],[TRIBAL_LAND_FLAG]]=RANGE_YESNO_YES)</f>
        <v>0</v>
      </c>
      <c r="L26" s="28" t="b">
        <f>OR(TBL_FRF_DATA[[#This Row],[ADDRESS_STATE]]="PR",TBL_FRF_DATA[[#This Row],[ADDRESS_STATE]]="VI")</f>
        <v>0</v>
      </c>
      <c r="M26" s="120"/>
      <c r="N26" s="120"/>
      <c r="O26" s="118"/>
      <c r="P26" s="118"/>
      <c r="Q26" s="32"/>
      <c r="R26" s="33"/>
      <c r="S26" s="118"/>
      <c r="T26" s="32"/>
      <c r="U26" s="34"/>
      <c r="V26" s="122"/>
      <c r="W26" s="122"/>
      <c r="X26" s="122"/>
      <c r="Y26" s="114"/>
      <c r="Z26" s="122"/>
      <c r="AA26" s="122"/>
      <c r="AB26" s="126"/>
      <c r="AC26" s="112"/>
      <c r="AD26" s="112"/>
      <c r="AE26" s="126"/>
      <c r="AF26" s="92"/>
      <c r="AG26" s="112"/>
      <c r="AH26" s="98"/>
      <c r="AI26" s="109"/>
      <c r="AJ26" s="104"/>
      <c r="AK26" s="101"/>
      <c r="AL26" s="29" t="str">
        <f>IF(OR(TBL_FRF_DATA[[#This Row],[ELIGIBILITY_BASIS]]="",$U26&lt;0),"",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6" s="125"/>
      <c r="AN26" s="29" t="str">
        <f>IF(AND(TBL_FRF_DATA[[#This Row],[ORGANIZATION_TYPE]]=RANGE_ORG_TYPE_NONPROFIT,TBL_FRF_DATA[[#This Row],[NP_ANNUAL_OP_BUDGET]]&lt;&gt;""),IF(TBL_FRF_DATA[[#This Row],[NP_ANNUAL_OP_BUDGET]]&lt;NP_ANNUAL_OPBUDGET_THRESHOLD_ELIGIBILITY,"Yes","No"),"")</f>
        <v/>
      </c>
      <c r="AO26" s="179" t="str">
        <f>IF(TBL_FRF_DATA[[#This Row],[RECORD_STARTED]],"1/1/2019","")</f>
        <v/>
      </c>
      <c r="AP26" s="124"/>
      <c r="AQ26" s="147" t="str">
        <f>IF(TBL_FRF_DATA[[#This Row],[REVENUE_2019_PERIOD_START]]="","",DATE(YEAR(TBL_FRF_DATA[[#This Row],[REVENUE_2019_PERIOD_START]])+1,MONTH(TBL_FRF_DATA[[#This Row],[REVENUE_2019_PERIOD_START]]),DAY(TBL_FRF_DATA[[#This Row],[REVENUE_2019_PERIOD_START]])))</f>
        <v/>
      </c>
      <c r="AR26" s="124"/>
      <c r="AS26" s="130" t="str">
        <f>IF(AND(TBL_FRF_DATA[[#This Row],[REVENUE_2019_AMT]]&lt;&gt;"",TBL_FRF_DATA[[#This Row],[REVENUE_2020_AMT]]&lt;&gt;""),(TBL_FRF_DATA[[#This Row],[REVENUE_2019_AMT]]-TBL_FRF_DATA[[#This Row],[REVENUE_2020_AMT]])/TBL_FRF_DATA[[#This Row],[REVENUE_2019_AMT]],"")</f>
        <v/>
      </c>
      <c r="AT26" s="129" t="str">
        <f>IF(TBL_FRF_DATA[[#This Row],[REVENUE_PCT_CHANGE]]&lt;&gt;"",IF(TBL_FRF_DATA[[#This Row],[REVENUE_PCT_CHANGE]]&gt;=REVENUE_DECLINE_THRESHOLD_ELIGIBILITY,"Yes","No"),"")</f>
        <v/>
      </c>
      <c r="AU26" s="115" t="str">
        <f>IF(TBL_FRF_DATA[[#This Row],[ELIGIBILITY_BASIS]]="","",IF(TBL_FRF_DATA[[#This Row],[ELIGIBILITY_BASIS]]=ELIG_BASIS_ANNUAL_RECEIPTS,IF(TBL_FRF_DATA[[#This Row],[ANNUAL_RECEIPTS]]="","",TBL_FRF_DATA[[#This Row],[ANNUAL_RECEIPTS]]),IF(TBL_FRF_DATA[[#This Row],[NUMBER_EMPLOYEES]]="","",TBL_FRF_DATA[[#This Row],[NUMBER_EMPLOYEES]])))</f>
        <v/>
      </c>
      <c r="AV26" s="106"/>
      <c r="AW26" s="64" t="str">
        <f>IF(OR(TBL_FRF_DATA[[#This Row],[SBA_ELIGIBILITY_BUSACTUAL_VALUE]]="",TBL_FRF_DATA[[#This Row],[SBA_ELIGIBILITY_MAX_VALUE]]=""),"",IF(TBL_FRF_DATA[[#This Row],[SBA_ELIGIBILITY_BUSACTUAL_VALUE]]&lt;=TBL_FRF_DATA[[#This Row],[SBA_ELIGIBILITY_MAX_VALUE]],"Yes","No"))</f>
        <v/>
      </c>
      <c r="AX26" s="65"/>
      <c r="AY26" s="66"/>
      <c r="AZ26" s="67"/>
      <c r="BA26" s="68"/>
      <c r="BB26" s="85"/>
      <c r="BC26" s="69"/>
      <c r="BD26" s="67"/>
      <c r="BE26" s="68"/>
      <c r="BF26" s="70"/>
    </row>
    <row r="27" spans="2:58" s="31" customFormat="1" ht="26.25" customHeight="1" x14ac:dyDescent="0.2">
      <c r="B27"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7"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7"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7" s="29" t="b">
        <f>AND(TBL_FRF_DATA[[#This Row],[RECORD_STARTED]],(COUNTIFS(TBL_FRF_DATA[RECORD_STARTED],FALSE,TBL_FRF_DATA[ROW_ID],"&lt;"&amp;TBL_FRF_DATA[[#This Row],[ROW_ID]])&gt;0))</f>
        <v>0</v>
      </c>
      <c r="F27" s="27" t="str">
        <f>IF(TBL_FRF_DATA[[#This Row],[RECORD_STARTED]],IF(TBL_FRF_DATA[[#This Row],[ERROR_COUNT]]&gt;0,-1,IF(TBL_FRF_DATA[[#This Row],[REQ_FIELDS_POP]],1,0)),"")</f>
        <v/>
      </c>
      <c r="G27" s="35">
        <f>ROW()-ROW(TBL_FRF_DATA[[#Headers],[ROW_ID]])</f>
        <v>6</v>
      </c>
      <c r="H27" s="55">
        <f t="shared" si="1"/>
        <v>0</v>
      </c>
      <c r="I27" s="28" t="str">
        <f t="shared" si="2"/>
        <v>CV19SBRG___0_0__</v>
      </c>
      <c r="J27" s="28" t="str">
        <f t="shared" si="3"/>
        <v/>
      </c>
      <c r="K27" s="28" t="b">
        <f>OR(TBL_FRF_DATA[[#This Row],[ORGANIZATION_TYPE]]=RANGE_ORG_TYPE_NONPROFIT,TBL_FRF_DATA[[#This Row],[TRIBAL_LAND_FLAG]]=RANGE_YESNO_YES)</f>
        <v>0</v>
      </c>
      <c r="L27" s="28" t="b">
        <f>OR(TBL_FRF_DATA[[#This Row],[ADDRESS_STATE]]="PR",TBL_FRF_DATA[[#This Row],[ADDRESS_STATE]]="VI")</f>
        <v>0</v>
      </c>
      <c r="M27" s="120"/>
      <c r="N27" s="120"/>
      <c r="O27" s="118"/>
      <c r="P27" s="118"/>
      <c r="Q27" s="32"/>
      <c r="R27" s="33"/>
      <c r="S27" s="118"/>
      <c r="T27" s="32"/>
      <c r="U27" s="34"/>
      <c r="V27" s="122"/>
      <c r="W27" s="122"/>
      <c r="X27" s="122"/>
      <c r="Y27" s="114"/>
      <c r="Z27" s="122"/>
      <c r="AA27" s="122"/>
      <c r="AB27" s="126"/>
      <c r="AC27" s="112"/>
      <c r="AD27" s="112"/>
      <c r="AE27" s="126"/>
      <c r="AF27" s="92"/>
      <c r="AG27" s="112"/>
      <c r="AH27" s="98"/>
      <c r="AI27" s="109"/>
      <c r="AJ27" s="104"/>
      <c r="AK27" s="101"/>
      <c r="AL27" s="29" t="str">
        <f>IF(OR(TBL_FRF_DATA[[#This Row],[ELIGIBILITY_BASIS]]="",$U27&lt;0),"",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7" s="125"/>
      <c r="AN27" s="29" t="str">
        <f>IF(AND(TBL_FRF_DATA[[#This Row],[ORGANIZATION_TYPE]]=RANGE_ORG_TYPE_NONPROFIT,TBL_FRF_DATA[[#This Row],[NP_ANNUAL_OP_BUDGET]]&lt;&gt;""),IF(TBL_FRF_DATA[[#This Row],[NP_ANNUAL_OP_BUDGET]]&lt;NP_ANNUAL_OPBUDGET_THRESHOLD_ELIGIBILITY,"Yes","No"),"")</f>
        <v/>
      </c>
      <c r="AO27" s="179" t="str">
        <f>IF(TBL_FRF_DATA[[#This Row],[RECORD_STARTED]],"1/1/2019","")</f>
        <v/>
      </c>
      <c r="AP27" s="124"/>
      <c r="AQ27" s="147" t="str">
        <f>IF(TBL_FRF_DATA[[#This Row],[REVENUE_2019_PERIOD_START]]="","",DATE(YEAR(TBL_FRF_DATA[[#This Row],[REVENUE_2019_PERIOD_START]])+1,MONTH(TBL_FRF_DATA[[#This Row],[REVENUE_2019_PERIOD_START]]),DAY(TBL_FRF_DATA[[#This Row],[REVENUE_2019_PERIOD_START]])))</f>
        <v/>
      </c>
      <c r="AR27" s="124"/>
      <c r="AS27" s="130" t="str">
        <f>IF(AND(TBL_FRF_DATA[[#This Row],[REVENUE_2019_AMT]]&lt;&gt;"",TBL_FRF_DATA[[#This Row],[REVENUE_2020_AMT]]&lt;&gt;""),(TBL_FRF_DATA[[#This Row],[REVENUE_2019_AMT]]-TBL_FRF_DATA[[#This Row],[REVENUE_2020_AMT]])/TBL_FRF_DATA[[#This Row],[REVENUE_2019_AMT]],"")</f>
        <v/>
      </c>
      <c r="AT27" s="129" t="str">
        <f>IF(TBL_FRF_DATA[[#This Row],[REVENUE_PCT_CHANGE]]&lt;&gt;"",IF(TBL_FRF_DATA[[#This Row],[REVENUE_PCT_CHANGE]]&gt;=REVENUE_DECLINE_THRESHOLD_ELIGIBILITY,"Yes","No"),"")</f>
        <v/>
      </c>
      <c r="AU27" s="115" t="str">
        <f>IF(TBL_FRF_DATA[[#This Row],[ELIGIBILITY_BASIS]]="","",IF(TBL_FRF_DATA[[#This Row],[ELIGIBILITY_BASIS]]=ELIG_BASIS_ANNUAL_RECEIPTS,IF(TBL_FRF_DATA[[#This Row],[ANNUAL_RECEIPTS]]="","",TBL_FRF_DATA[[#This Row],[ANNUAL_RECEIPTS]]),IF(TBL_FRF_DATA[[#This Row],[NUMBER_EMPLOYEES]]="","",TBL_FRF_DATA[[#This Row],[NUMBER_EMPLOYEES]])))</f>
        <v/>
      </c>
      <c r="AV27" s="106"/>
      <c r="AW27" s="64" t="str">
        <f>IF(OR(TBL_FRF_DATA[[#This Row],[SBA_ELIGIBILITY_BUSACTUAL_VALUE]]="",TBL_FRF_DATA[[#This Row],[SBA_ELIGIBILITY_MAX_VALUE]]=""),"",IF(TBL_FRF_DATA[[#This Row],[SBA_ELIGIBILITY_BUSACTUAL_VALUE]]&lt;=TBL_FRF_DATA[[#This Row],[SBA_ELIGIBILITY_MAX_VALUE]],"Yes","No"))</f>
        <v/>
      </c>
      <c r="AX27" s="65"/>
      <c r="AY27" s="66"/>
      <c r="AZ27" s="67"/>
      <c r="BA27" s="68"/>
      <c r="BB27" s="85"/>
      <c r="BC27" s="69"/>
      <c r="BD27" s="67"/>
      <c r="BE27" s="68"/>
      <c r="BF27" s="70"/>
    </row>
    <row r="28" spans="2:58" s="31" customFormat="1" ht="26.25" customHeight="1" x14ac:dyDescent="0.2">
      <c r="B28"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8"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8"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8" s="29" t="b">
        <f>AND(TBL_FRF_DATA[[#This Row],[RECORD_STARTED]],(COUNTIFS(TBL_FRF_DATA[RECORD_STARTED],FALSE,TBL_FRF_DATA[ROW_ID],"&lt;"&amp;TBL_FRF_DATA[[#This Row],[ROW_ID]])&gt;0))</f>
        <v>0</v>
      </c>
      <c r="F28" s="27" t="str">
        <f>IF(TBL_FRF_DATA[[#This Row],[RECORD_STARTED]],IF(TBL_FRF_DATA[[#This Row],[ERROR_COUNT]]&gt;0,-1,IF(TBL_FRF_DATA[[#This Row],[REQ_FIELDS_POP]],1,0)),"")</f>
        <v/>
      </c>
      <c r="G28" s="35">
        <f>ROW()-ROW(TBL_FRF_DATA[[#Headers],[ROW_ID]])</f>
        <v>7</v>
      </c>
      <c r="H28" s="55">
        <f t="shared" si="1"/>
        <v>0</v>
      </c>
      <c r="I28" s="28" t="str">
        <f t="shared" si="2"/>
        <v>CV19SBRG___0_0__</v>
      </c>
      <c r="J28" s="28" t="str">
        <f t="shared" si="3"/>
        <v/>
      </c>
      <c r="K28" s="28" t="b">
        <f>OR(TBL_FRF_DATA[[#This Row],[ORGANIZATION_TYPE]]=RANGE_ORG_TYPE_NONPROFIT,TBL_FRF_DATA[[#This Row],[TRIBAL_LAND_FLAG]]=RANGE_YESNO_YES)</f>
        <v>0</v>
      </c>
      <c r="L28" s="28" t="b">
        <f>OR(TBL_FRF_DATA[[#This Row],[ADDRESS_STATE]]="PR",TBL_FRF_DATA[[#This Row],[ADDRESS_STATE]]="VI")</f>
        <v>0</v>
      </c>
      <c r="M28" s="120"/>
      <c r="N28" s="120"/>
      <c r="O28" s="118"/>
      <c r="P28" s="118"/>
      <c r="Q28" s="32"/>
      <c r="R28" s="33"/>
      <c r="S28" s="118"/>
      <c r="T28" s="32"/>
      <c r="U28" s="34"/>
      <c r="V28" s="122"/>
      <c r="W28" s="122"/>
      <c r="X28" s="122"/>
      <c r="Y28" s="114"/>
      <c r="Z28" s="122"/>
      <c r="AA28" s="122"/>
      <c r="AB28" s="126"/>
      <c r="AC28" s="112"/>
      <c r="AD28" s="112"/>
      <c r="AE28" s="126"/>
      <c r="AF28" s="92"/>
      <c r="AG28" s="112"/>
      <c r="AH28" s="98"/>
      <c r="AI28" s="109"/>
      <c r="AJ28" s="104"/>
      <c r="AK28" s="101"/>
      <c r="AL28" s="29" t="str">
        <f>IF(OR(TBL_FRF_DATA[[#This Row],[ELIGIBILITY_BASIS]]="",$U28&lt;0),"",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8" s="125"/>
      <c r="AN28" s="29" t="str">
        <f>IF(AND(TBL_FRF_DATA[[#This Row],[ORGANIZATION_TYPE]]=RANGE_ORG_TYPE_NONPROFIT,TBL_FRF_DATA[[#This Row],[NP_ANNUAL_OP_BUDGET]]&lt;&gt;""),IF(TBL_FRF_DATA[[#This Row],[NP_ANNUAL_OP_BUDGET]]&lt;NP_ANNUAL_OPBUDGET_THRESHOLD_ELIGIBILITY,"Yes","No"),"")</f>
        <v/>
      </c>
      <c r="AO28" s="179" t="str">
        <f>IF(TBL_FRF_DATA[[#This Row],[RECORD_STARTED]],"1/1/2019","")</f>
        <v/>
      </c>
      <c r="AP28" s="124"/>
      <c r="AQ28" s="147" t="str">
        <f>IF(TBL_FRF_DATA[[#This Row],[REVENUE_2019_PERIOD_START]]="","",DATE(YEAR(TBL_FRF_DATA[[#This Row],[REVENUE_2019_PERIOD_START]])+1,MONTH(TBL_FRF_DATA[[#This Row],[REVENUE_2019_PERIOD_START]]),DAY(TBL_FRF_DATA[[#This Row],[REVENUE_2019_PERIOD_START]])))</f>
        <v/>
      </c>
      <c r="AR28" s="124"/>
      <c r="AS28" s="130" t="str">
        <f>IF(AND(TBL_FRF_DATA[[#This Row],[REVENUE_2019_AMT]]&lt;&gt;"",TBL_FRF_DATA[[#This Row],[REVENUE_2020_AMT]]&lt;&gt;""),(TBL_FRF_DATA[[#This Row],[REVENUE_2019_AMT]]-TBL_FRF_DATA[[#This Row],[REVENUE_2020_AMT]])/TBL_FRF_DATA[[#This Row],[REVENUE_2019_AMT]],"")</f>
        <v/>
      </c>
      <c r="AT28" s="129" t="str">
        <f>IF(TBL_FRF_DATA[[#This Row],[REVENUE_PCT_CHANGE]]&lt;&gt;"",IF(TBL_FRF_DATA[[#This Row],[REVENUE_PCT_CHANGE]]&gt;=REVENUE_DECLINE_THRESHOLD_ELIGIBILITY,"Yes","No"),"")</f>
        <v/>
      </c>
      <c r="AU28" s="115" t="str">
        <f>IF(TBL_FRF_DATA[[#This Row],[ELIGIBILITY_BASIS]]="","",IF(TBL_FRF_DATA[[#This Row],[ELIGIBILITY_BASIS]]=ELIG_BASIS_ANNUAL_RECEIPTS,IF(TBL_FRF_DATA[[#This Row],[ANNUAL_RECEIPTS]]="","",TBL_FRF_DATA[[#This Row],[ANNUAL_RECEIPTS]]),IF(TBL_FRF_DATA[[#This Row],[NUMBER_EMPLOYEES]]="","",TBL_FRF_DATA[[#This Row],[NUMBER_EMPLOYEES]])))</f>
        <v/>
      </c>
      <c r="AV28" s="106"/>
      <c r="AW28" s="64" t="str">
        <f>IF(OR(TBL_FRF_DATA[[#This Row],[SBA_ELIGIBILITY_BUSACTUAL_VALUE]]="",TBL_FRF_DATA[[#This Row],[SBA_ELIGIBILITY_MAX_VALUE]]=""),"",IF(TBL_FRF_DATA[[#This Row],[SBA_ELIGIBILITY_BUSACTUAL_VALUE]]&lt;=TBL_FRF_DATA[[#This Row],[SBA_ELIGIBILITY_MAX_VALUE]],"Yes","No"))</f>
        <v/>
      </c>
      <c r="AX28" s="65"/>
      <c r="AY28" s="66"/>
      <c r="AZ28" s="67"/>
      <c r="BA28" s="68"/>
      <c r="BB28" s="85"/>
      <c r="BC28" s="69"/>
      <c r="BD28" s="67"/>
      <c r="BE28" s="68"/>
      <c r="BF28" s="70"/>
    </row>
    <row r="29" spans="2:58" s="31" customFormat="1" ht="26.25" customHeight="1" x14ac:dyDescent="0.2">
      <c r="B29"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29"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29"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29" s="29" t="b">
        <f>AND(TBL_FRF_DATA[[#This Row],[RECORD_STARTED]],(COUNTIFS(TBL_FRF_DATA[RECORD_STARTED],FALSE,TBL_FRF_DATA[ROW_ID],"&lt;"&amp;TBL_FRF_DATA[[#This Row],[ROW_ID]])&gt;0))</f>
        <v>0</v>
      </c>
      <c r="F29" s="27" t="str">
        <f>IF(TBL_FRF_DATA[[#This Row],[RECORD_STARTED]],IF(TBL_FRF_DATA[[#This Row],[ERROR_COUNT]]&gt;0,-1,IF(TBL_FRF_DATA[[#This Row],[REQ_FIELDS_POP]],1,0)),"")</f>
        <v/>
      </c>
      <c r="G29" s="35">
        <f>ROW()-ROW(TBL_FRF_DATA[[#Headers],[ROW_ID]])</f>
        <v>8</v>
      </c>
      <c r="H29" s="55">
        <f t="shared" si="1"/>
        <v>0</v>
      </c>
      <c r="I29" s="28" t="str">
        <f t="shared" si="2"/>
        <v>CV19SBRG___0_0__</v>
      </c>
      <c r="J29" s="28" t="str">
        <f t="shared" si="3"/>
        <v/>
      </c>
      <c r="K29" s="28" t="b">
        <f>OR(TBL_FRF_DATA[[#This Row],[ORGANIZATION_TYPE]]=RANGE_ORG_TYPE_NONPROFIT,TBL_FRF_DATA[[#This Row],[TRIBAL_LAND_FLAG]]=RANGE_YESNO_YES)</f>
        <v>0</v>
      </c>
      <c r="L29" s="28" t="b">
        <f>OR(TBL_FRF_DATA[[#This Row],[ADDRESS_STATE]]="PR",TBL_FRF_DATA[[#This Row],[ADDRESS_STATE]]="VI")</f>
        <v>0</v>
      </c>
      <c r="M29" s="120"/>
      <c r="N29" s="120"/>
      <c r="O29" s="118"/>
      <c r="P29" s="118"/>
      <c r="Q29" s="32"/>
      <c r="R29" s="33"/>
      <c r="S29" s="118"/>
      <c r="T29" s="32"/>
      <c r="U29" s="34"/>
      <c r="V29" s="122"/>
      <c r="W29" s="122"/>
      <c r="X29" s="122"/>
      <c r="Y29" s="114"/>
      <c r="Z29" s="122"/>
      <c r="AA29" s="122"/>
      <c r="AB29" s="126"/>
      <c r="AC29" s="112"/>
      <c r="AD29" s="112"/>
      <c r="AE29" s="126"/>
      <c r="AF29" s="92"/>
      <c r="AG29" s="112"/>
      <c r="AH29" s="98"/>
      <c r="AI29" s="109"/>
      <c r="AJ29" s="104"/>
      <c r="AK29" s="101"/>
      <c r="AL29" s="29" t="str">
        <f>IF(OR(TBL_FRF_DATA[[#This Row],[ELIGIBILITY_BASIS]]="",$U29&lt;0),"",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29" s="125"/>
      <c r="AN29" s="29" t="str">
        <f>IF(AND(TBL_FRF_DATA[[#This Row],[ORGANIZATION_TYPE]]=RANGE_ORG_TYPE_NONPROFIT,TBL_FRF_DATA[[#This Row],[NP_ANNUAL_OP_BUDGET]]&lt;&gt;""),IF(TBL_FRF_DATA[[#This Row],[NP_ANNUAL_OP_BUDGET]]&lt;NP_ANNUAL_OPBUDGET_THRESHOLD_ELIGIBILITY,"Yes","No"),"")</f>
        <v/>
      </c>
      <c r="AO29" s="179" t="str">
        <f>IF(TBL_FRF_DATA[[#This Row],[RECORD_STARTED]],"1/1/2019","")</f>
        <v/>
      </c>
      <c r="AP29" s="124"/>
      <c r="AQ29" s="147" t="str">
        <f>IF(TBL_FRF_DATA[[#This Row],[REVENUE_2019_PERIOD_START]]="","",DATE(YEAR(TBL_FRF_DATA[[#This Row],[REVENUE_2019_PERIOD_START]])+1,MONTH(TBL_FRF_DATA[[#This Row],[REVENUE_2019_PERIOD_START]]),DAY(TBL_FRF_DATA[[#This Row],[REVENUE_2019_PERIOD_START]])))</f>
        <v/>
      </c>
      <c r="AR29" s="124"/>
      <c r="AS29" s="130" t="str">
        <f>IF(AND(TBL_FRF_DATA[[#This Row],[REVENUE_2019_AMT]]&lt;&gt;"",TBL_FRF_DATA[[#This Row],[REVENUE_2020_AMT]]&lt;&gt;""),(TBL_FRF_DATA[[#This Row],[REVENUE_2019_AMT]]-TBL_FRF_DATA[[#This Row],[REVENUE_2020_AMT]])/TBL_FRF_DATA[[#This Row],[REVENUE_2019_AMT]],"")</f>
        <v/>
      </c>
      <c r="AT29" s="129" t="str">
        <f>IF(TBL_FRF_DATA[[#This Row],[REVENUE_PCT_CHANGE]]&lt;&gt;"",IF(TBL_FRF_DATA[[#This Row],[REVENUE_PCT_CHANGE]]&gt;=REVENUE_DECLINE_THRESHOLD_ELIGIBILITY,"Yes","No"),"")</f>
        <v/>
      </c>
      <c r="AU29" s="115" t="str">
        <f>IF(TBL_FRF_DATA[[#This Row],[ELIGIBILITY_BASIS]]="","",IF(TBL_FRF_DATA[[#This Row],[ELIGIBILITY_BASIS]]=ELIG_BASIS_ANNUAL_RECEIPTS,IF(TBL_FRF_DATA[[#This Row],[ANNUAL_RECEIPTS]]="","",TBL_FRF_DATA[[#This Row],[ANNUAL_RECEIPTS]]),IF(TBL_FRF_DATA[[#This Row],[NUMBER_EMPLOYEES]]="","",TBL_FRF_DATA[[#This Row],[NUMBER_EMPLOYEES]])))</f>
        <v/>
      </c>
      <c r="AV29" s="106"/>
      <c r="AW29" s="64" t="str">
        <f>IF(OR(TBL_FRF_DATA[[#This Row],[SBA_ELIGIBILITY_BUSACTUAL_VALUE]]="",TBL_FRF_DATA[[#This Row],[SBA_ELIGIBILITY_MAX_VALUE]]=""),"",IF(TBL_FRF_DATA[[#This Row],[SBA_ELIGIBILITY_BUSACTUAL_VALUE]]&lt;=TBL_FRF_DATA[[#This Row],[SBA_ELIGIBILITY_MAX_VALUE]],"Yes","No"))</f>
        <v/>
      </c>
      <c r="AX29" s="65"/>
      <c r="AY29" s="66"/>
      <c r="AZ29" s="67"/>
      <c r="BA29" s="68"/>
      <c r="BB29" s="85"/>
      <c r="BC29" s="69"/>
      <c r="BD29" s="67"/>
      <c r="BE29" s="68"/>
      <c r="BF29" s="70"/>
    </row>
    <row r="30" spans="2:58" s="31" customFormat="1" ht="26.25" customHeight="1" x14ac:dyDescent="0.2">
      <c r="B30"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0"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0"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0" s="29" t="b">
        <f>AND(TBL_FRF_DATA[[#This Row],[RECORD_STARTED]],(COUNTIFS(TBL_FRF_DATA[RECORD_STARTED],FALSE,TBL_FRF_DATA[ROW_ID],"&lt;"&amp;TBL_FRF_DATA[[#This Row],[ROW_ID]])&gt;0))</f>
        <v>0</v>
      </c>
      <c r="F30" s="27" t="str">
        <f>IF(TBL_FRF_DATA[[#This Row],[RECORD_STARTED]],IF(TBL_FRF_DATA[[#This Row],[ERROR_COUNT]]&gt;0,-1,IF(TBL_FRF_DATA[[#This Row],[REQ_FIELDS_POP]],1,0)),"")</f>
        <v/>
      </c>
      <c r="G30" s="35">
        <f>ROW()-ROW(TBL_FRF_DATA[[#Headers],[ROW_ID]])</f>
        <v>9</v>
      </c>
      <c r="H30" s="55">
        <f t="shared" si="1"/>
        <v>0</v>
      </c>
      <c r="I30" s="28" t="str">
        <f t="shared" si="2"/>
        <v>CV19SBRG___0_0__</v>
      </c>
      <c r="J30" s="28" t="str">
        <f t="shared" si="3"/>
        <v/>
      </c>
      <c r="K30" s="28" t="b">
        <f>OR(TBL_FRF_DATA[[#This Row],[ORGANIZATION_TYPE]]=RANGE_ORG_TYPE_NONPROFIT,TBL_FRF_DATA[[#This Row],[TRIBAL_LAND_FLAG]]=RANGE_YESNO_YES)</f>
        <v>0</v>
      </c>
      <c r="L30" s="28" t="b">
        <f>OR(TBL_FRF_DATA[[#This Row],[ADDRESS_STATE]]="PR",TBL_FRF_DATA[[#This Row],[ADDRESS_STATE]]="VI")</f>
        <v>0</v>
      </c>
      <c r="M30" s="120"/>
      <c r="N30" s="120"/>
      <c r="O30" s="118"/>
      <c r="P30" s="118"/>
      <c r="Q30" s="32"/>
      <c r="R30" s="33"/>
      <c r="S30" s="118"/>
      <c r="T30" s="32"/>
      <c r="U30" s="34"/>
      <c r="V30" s="122"/>
      <c r="W30" s="122"/>
      <c r="X30" s="122"/>
      <c r="Y30" s="114"/>
      <c r="Z30" s="122"/>
      <c r="AA30" s="122"/>
      <c r="AB30" s="126"/>
      <c r="AC30" s="112"/>
      <c r="AD30" s="112"/>
      <c r="AE30" s="126"/>
      <c r="AF30" s="92"/>
      <c r="AG30" s="112"/>
      <c r="AH30" s="98"/>
      <c r="AI30" s="109"/>
      <c r="AJ30" s="104"/>
      <c r="AK30" s="101"/>
      <c r="AL30" s="29" t="str">
        <f>IF(OR(TBL_FRF_DATA[[#This Row],[ELIGIBILITY_BASIS]]="",$U30&lt;0),"",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0" s="125"/>
      <c r="AN30" s="29" t="str">
        <f>IF(AND(TBL_FRF_DATA[[#This Row],[ORGANIZATION_TYPE]]=RANGE_ORG_TYPE_NONPROFIT,TBL_FRF_DATA[[#This Row],[NP_ANNUAL_OP_BUDGET]]&lt;&gt;""),IF(TBL_FRF_DATA[[#This Row],[NP_ANNUAL_OP_BUDGET]]&lt;NP_ANNUAL_OPBUDGET_THRESHOLD_ELIGIBILITY,"Yes","No"),"")</f>
        <v/>
      </c>
      <c r="AO30" s="179" t="str">
        <f>IF(TBL_FRF_DATA[[#This Row],[RECORD_STARTED]],"1/1/2019","")</f>
        <v/>
      </c>
      <c r="AP30" s="124"/>
      <c r="AQ30" s="147" t="str">
        <f>IF(TBL_FRF_DATA[[#This Row],[REVENUE_2019_PERIOD_START]]="","",DATE(YEAR(TBL_FRF_DATA[[#This Row],[REVENUE_2019_PERIOD_START]])+1,MONTH(TBL_FRF_DATA[[#This Row],[REVENUE_2019_PERIOD_START]]),DAY(TBL_FRF_DATA[[#This Row],[REVENUE_2019_PERIOD_START]])))</f>
        <v/>
      </c>
      <c r="AR30" s="124"/>
      <c r="AS30" s="130" t="str">
        <f>IF(AND(TBL_FRF_DATA[[#This Row],[REVENUE_2019_AMT]]&lt;&gt;"",TBL_FRF_DATA[[#This Row],[REVENUE_2020_AMT]]&lt;&gt;""),(TBL_FRF_DATA[[#This Row],[REVENUE_2019_AMT]]-TBL_FRF_DATA[[#This Row],[REVENUE_2020_AMT]])/TBL_FRF_DATA[[#This Row],[REVENUE_2019_AMT]],"")</f>
        <v/>
      </c>
      <c r="AT30" s="129" t="str">
        <f>IF(TBL_FRF_DATA[[#This Row],[REVENUE_PCT_CHANGE]]&lt;&gt;"",IF(TBL_FRF_DATA[[#This Row],[REVENUE_PCT_CHANGE]]&gt;=REVENUE_DECLINE_THRESHOLD_ELIGIBILITY,"Yes","No"),"")</f>
        <v/>
      </c>
      <c r="AU30" s="115" t="str">
        <f>IF(TBL_FRF_DATA[[#This Row],[ELIGIBILITY_BASIS]]="","",IF(TBL_FRF_DATA[[#This Row],[ELIGIBILITY_BASIS]]=ELIG_BASIS_ANNUAL_RECEIPTS,IF(TBL_FRF_DATA[[#This Row],[ANNUAL_RECEIPTS]]="","",TBL_FRF_DATA[[#This Row],[ANNUAL_RECEIPTS]]),IF(TBL_FRF_DATA[[#This Row],[NUMBER_EMPLOYEES]]="","",TBL_FRF_DATA[[#This Row],[NUMBER_EMPLOYEES]])))</f>
        <v/>
      </c>
      <c r="AV30" s="106"/>
      <c r="AW30" s="64" t="str">
        <f>IF(OR(TBL_FRF_DATA[[#This Row],[SBA_ELIGIBILITY_BUSACTUAL_VALUE]]="",TBL_FRF_DATA[[#This Row],[SBA_ELIGIBILITY_MAX_VALUE]]=""),"",IF(TBL_FRF_DATA[[#This Row],[SBA_ELIGIBILITY_BUSACTUAL_VALUE]]&lt;=TBL_FRF_DATA[[#This Row],[SBA_ELIGIBILITY_MAX_VALUE]],"Yes","No"))</f>
        <v/>
      </c>
      <c r="AX30" s="65"/>
      <c r="AY30" s="66"/>
      <c r="AZ30" s="67"/>
      <c r="BA30" s="68"/>
      <c r="BB30" s="85"/>
      <c r="BC30" s="69"/>
      <c r="BD30" s="67"/>
      <c r="BE30" s="68"/>
      <c r="BF30" s="70"/>
    </row>
    <row r="31" spans="2:58" s="31" customFormat="1" ht="26.25" customHeight="1" x14ac:dyDescent="0.2">
      <c r="B31"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1"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1"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1" s="29" t="b">
        <f>AND(TBL_FRF_DATA[[#This Row],[RECORD_STARTED]],(COUNTIFS(TBL_FRF_DATA[RECORD_STARTED],FALSE,TBL_FRF_DATA[ROW_ID],"&lt;"&amp;TBL_FRF_DATA[[#This Row],[ROW_ID]])&gt;0))</f>
        <v>0</v>
      </c>
      <c r="F31" s="27" t="str">
        <f>IF(TBL_FRF_DATA[[#This Row],[RECORD_STARTED]],IF(TBL_FRF_DATA[[#This Row],[ERROR_COUNT]]&gt;0,-1,IF(TBL_FRF_DATA[[#This Row],[REQ_FIELDS_POP]],1,0)),"")</f>
        <v/>
      </c>
      <c r="G31" s="35">
        <f>ROW()-ROW(TBL_FRF_DATA[[#Headers],[ROW_ID]])</f>
        <v>10</v>
      </c>
      <c r="H31" s="55">
        <f t="shared" si="1"/>
        <v>0</v>
      </c>
      <c r="I31" s="28" t="str">
        <f t="shared" si="2"/>
        <v>CV19SBRG___0_0__</v>
      </c>
      <c r="J31" s="28" t="str">
        <f t="shared" si="3"/>
        <v/>
      </c>
      <c r="K31" s="28" t="b">
        <f>OR(TBL_FRF_DATA[[#This Row],[ORGANIZATION_TYPE]]=RANGE_ORG_TYPE_NONPROFIT,TBL_FRF_DATA[[#This Row],[TRIBAL_LAND_FLAG]]=RANGE_YESNO_YES)</f>
        <v>0</v>
      </c>
      <c r="L31" s="28" t="b">
        <f>OR(TBL_FRF_DATA[[#This Row],[ADDRESS_STATE]]="PR",TBL_FRF_DATA[[#This Row],[ADDRESS_STATE]]="VI")</f>
        <v>0</v>
      </c>
      <c r="M31" s="120"/>
      <c r="N31" s="120"/>
      <c r="O31" s="118"/>
      <c r="P31" s="118"/>
      <c r="Q31" s="32"/>
      <c r="R31" s="33"/>
      <c r="S31" s="118"/>
      <c r="T31" s="32"/>
      <c r="U31" s="34"/>
      <c r="V31" s="122"/>
      <c r="W31" s="122"/>
      <c r="X31" s="122"/>
      <c r="Y31" s="114"/>
      <c r="Z31" s="122"/>
      <c r="AA31" s="122"/>
      <c r="AB31" s="126"/>
      <c r="AC31" s="112"/>
      <c r="AD31" s="112"/>
      <c r="AE31" s="126"/>
      <c r="AF31" s="92"/>
      <c r="AG31" s="112"/>
      <c r="AH31" s="98"/>
      <c r="AI31" s="109"/>
      <c r="AJ31" s="104"/>
      <c r="AK31" s="101"/>
      <c r="AL31" s="29" t="str">
        <f>IF(OR(TBL_FRF_DATA[[#This Row],[ELIGIBILITY_BASIS]]="",$U31&lt;0),"",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1" s="125"/>
      <c r="AN31" s="29" t="str">
        <f>IF(AND(TBL_FRF_DATA[[#This Row],[ORGANIZATION_TYPE]]=RANGE_ORG_TYPE_NONPROFIT,TBL_FRF_DATA[[#This Row],[NP_ANNUAL_OP_BUDGET]]&lt;&gt;""),IF(TBL_FRF_DATA[[#This Row],[NP_ANNUAL_OP_BUDGET]]&lt;NP_ANNUAL_OPBUDGET_THRESHOLD_ELIGIBILITY,"Yes","No"),"")</f>
        <v/>
      </c>
      <c r="AO31" s="179" t="str">
        <f>IF(TBL_FRF_DATA[[#This Row],[RECORD_STARTED]],"1/1/2019","")</f>
        <v/>
      </c>
      <c r="AP31" s="124"/>
      <c r="AQ31" s="147" t="str">
        <f>IF(TBL_FRF_DATA[[#This Row],[REVENUE_2019_PERIOD_START]]="","",DATE(YEAR(TBL_FRF_DATA[[#This Row],[REVENUE_2019_PERIOD_START]])+1,MONTH(TBL_FRF_DATA[[#This Row],[REVENUE_2019_PERIOD_START]]),DAY(TBL_FRF_DATA[[#This Row],[REVENUE_2019_PERIOD_START]])))</f>
        <v/>
      </c>
      <c r="AR31" s="124"/>
      <c r="AS31" s="130" t="str">
        <f>IF(AND(TBL_FRF_DATA[[#This Row],[REVENUE_2019_AMT]]&lt;&gt;"",TBL_FRF_DATA[[#This Row],[REVENUE_2020_AMT]]&lt;&gt;""),(TBL_FRF_DATA[[#This Row],[REVENUE_2019_AMT]]-TBL_FRF_DATA[[#This Row],[REVENUE_2020_AMT]])/TBL_FRF_DATA[[#This Row],[REVENUE_2019_AMT]],"")</f>
        <v/>
      </c>
      <c r="AT31" s="129" t="str">
        <f>IF(TBL_FRF_DATA[[#This Row],[REVENUE_PCT_CHANGE]]&lt;&gt;"",IF(TBL_FRF_DATA[[#This Row],[REVENUE_PCT_CHANGE]]&gt;=REVENUE_DECLINE_THRESHOLD_ELIGIBILITY,"Yes","No"),"")</f>
        <v/>
      </c>
      <c r="AU31" s="115" t="str">
        <f>IF(TBL_FRF_DATA[[#This Row],[ELIGIBILITY_BASIS]]="","",IF(TBL_FRF_DATA[[#This Row],[ELIGIBILITY_BASIS]]=ELIG_BASIS_ANNUAL_RECEIPTS,IF(TBL_FRF_DATA[[#This Row],[ANNUAL_RECEIPTS]]="","",TBL_FRF_DATA[[#This Row],[ANNUAL_RECEIPTS]]),IF(TBL_FRF_DATA[[#This Row],[NUMBER_EMPLOYEES]]="","",TBL_FRF_DATA[[#This Row],[NUMBER_EMPLOYEES]])))</f>
        <v/>
      </c>
      <c r="AV31" s="106"/>
      <c r="AW31" s="64" t="str">
        <f>IF(OR(TBL_FRF_DATA[[#This Row],[SBA_ELIGIBILITY_BUSACTUAL_VALUE]]="",TBL_FRF_DATA[[#This Row],[SBA_ELIGIBILITY_MAX_VALUE]]=""),"",IF(TBL_FRF_DATA[[#This Row],[SBA_ELIGIBILITY_BUSACTUAL_VALUE]]&lt;=TBL_FRF_DATA[[#This Row],[SBA_ELIGIBILITY_MAX_VALUE]],"Yes","No"))</f>
        <v/>
      </c>
      <c r="AX31" s="65"/>
      <c r="AY31" s="66"/>
      <c r="AZ31" s="67"/>
      <c r="BA31" s="68"/>
      <c r="BB31" s="85"/>
      <c r="BC31" s="69"/>
      <c r="BD31" s="67"/>
      <c r="BE31" s="68"/>
      <c r="BF31" s="70"/>
    </row>
    <row r="32" spans="2:58" s="31" customFormat="1" ht="26.25" customHeight="1" x14ac:dyDescent="0.2">
      <c r="B32"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2"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2"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2" s="29" t="b">
        <f>AND(TBL_FRF_DATA[[#This Row],[RECORD_STARTED]],(COUNTIFS(TBL_FRF_DATA[RECORD_STARTED],FALSE,TBL_FRF_DATA[ROW_ID],"&lt;"&amp;TBL_FRF_DATA[[#This Row],[ROW_ID]])&gt;0))</f>
        <v>0</v>
      </c>
      <c r="F32" s="27" t="str">
        <f>IF(TBL_FRF_DATA[[#This Row],[RECORD_STARTED]],IF(TBL_FRF_DATA[[#This Row],[ERROR_COUNT]]&gt;0,-1,IF(TBL_FRF_DATA[[#This Row],[REQ_FIELDS_POP]],1,0)),"")</f>
        <v/>
      </c>
      <c r="G32" s="35">
        <f>ROW()-ROW(TBL_FRF_DATA[[#Headers],[ROW_ID]])</f>
        <v>11</v>
      </c>
      <c r="H32" s="55">
        <f t="shared" si="1"/>
        <v>0</v>
      </c>
      <c r="I32" s="28" t="str">
        <f t="shared" si="2"/>
        <v>CV19SBRG___0_0__</v>
      </c>
      <c r="J32" s="28" t="str">
        <f t="shared" si="3"/>
        <v/>
      </c>
      <c r="K32" s="28" t="b">
        <f>OR(TBL_FRF_DATA[[#This Row],[ORGANIZATION_TYPE]]=RANGE_ORG_TYPE_NONPROFIT,TBL_FRF_DATA[[#This Row],[TRIBAL_LAND_FLAG]]=RANGE_YESNO_YES)</f>
        <v>0</v>
      </c>
      <c r="L32" s="28" t="b">
        <f>OR(TBL_FRF_DATA[[#This Row],[ADDRESS_STATE]]="PR",TBL_FRF_DATA[[#This Row],[ADDRESS_STATE]]="VI")</f>
        <v>0</v>
      </c>
      <c r="M32" s="120"/>
      <c r="N32" s="120"/>
      <c r="O32" s="118"/>
      <c r="P32" s="118"/>
      <c r="Q32" s="32"/>
      <c r="R32" s="33"/>
      <c r="S32" s="118"/>
      <c r="T32" s="32"/>
      <c r="U32" s="34"/>
      <c r="V32" s="122"/>
      <c r="W32" s="122"/>
      <c r="X32" s="122"/>
      <c r="Y32" s="114"/>
      <c r="Z32" s="122"/>
      <c r="AA32" s="122"/>
      <c r="AB32" s="126"/>
      <c r="AC32" s="112"/>
      <c r="AD32" s="112"/>
      <c r="AE32" s="126"/>
      <c r="AF32" s="92"/>
      <c r="AG32" s="112"/>
      <c r="AH32" s="98"/>
      <c r="AI32" s="109"/>
      <c r="AJ32" s="104"/>
      <c r="AK32" s="101"/>
      <c r="AL32" s="29" t="str">
        <f>IF(OR(TBL_FRF_DATA[[#This Row],[ELIGIBILITY_BASIS]]="",$U32&lt;0),"",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2" s="125"/>
      <c r="AN32" s="29" t="str">
        <f>IF(AND(TBL_FRF_DATA[[#This Row],[ORGANIZATION_TYPE]]=RANGE_ORG_TYPE_NONPROFIT,TBL_FRF_DATA[[#This Row],[NP_ANNUAL_OP_BUDGET]]&lt;&gt;""),IF(TBL_FRF_DATA[[#This Row],[NP_ANNUAL_OP_BUDGET]]&lt;NP_ANNUAL_OPBUDGET_THRESHOLD_ELIGIBILITY,"Yes","No"),"")</f>
        <v/>
      </c>
      <c r="AO32" s="179" t="str">
        <f>IF(TBL_FRF_DATA[[#This Row],[RECORD_STARTED]],"1/1/2019","")</f>
        <v/>
      </c>
      <c r="AP32" s="124"/>
      <c r="AQ32" s="147" t="str">
        <f>IF(TBL_FRF_DATA[[#This Row],[REVENUE_2019_PERIOD_START]]="","",DATE(YEAR(TBL_FRF_DATA[[#This Row],[REVENUE_2019_PERIOD_START]])+1,MONTH(TBL_FRF_DATA[[#This Row],[REVENUE_2019_PERIOD_START]]),DAY(TBL_FRF_DATA[[#This Row],[REVENUE_2019_PERIOD_START]])))</f>
        <v/>
      </c>
      <c r="AR32" s="124"/>
      <c r="AS32" s="130" t="str">
        <f>IF(AND(TBL_FRF_DATA[[#This Row],[REVENUE_2019_AMT]]&lt;&gt;"",TBL_FRF_DATA[[#This Row],[REVENUE_2020_AMT]]&lt;&gt;""),(TBL_FRF_DATA[[#This Row],[REVENUE_2019_AMT]]-TBL_FRF_DATA[[#This Row],[REVENUE_2020_AMT]])/TBL_FRF_DATA[[#This Row],[REVENUE_2019_AMT]],"")</f>
        <v/>
      </c>
      <c r="AT32" s="129" t="str">
        <f>IF(TBL_FRF_DATA[[#This Row],[REVENUE_PCT_CHANGE]]&lt;&gt;"",IF(TBL_FRF_DATA[[#This Row],[REVENUE_PCT_CHANGE]]&gt;=REVENUE_DECLINE_THRESHOLD_ELIGIBILITY,"Yes","No"),"")</f>
        <v/>
      </c>
      <c r="AU32" s="115" t="str">
        <f>IF(TBL_FRF_DATA[[#This Row],[ELIGIBILITY_BASIS]]="","",IF(TBL_FRF_DATA[[#This Row],[ELIGIBILITY_BASIS]]=ELIG_BASIS_ANNUAL_RECEIPTS,IF(TBL_FRF_DATA[[#This Row],[ANNUAL_RECEIPTS]]="","",TBL_FRF_DATA[[#This Row],[ANNUAL_RECEIPTS]]),IF(TBL_FRF_DATA[[#This Row],[NUMBER_EMPLOYEES]]="","",TBL_FRF_DATA[[#This Row],[NUMBER_EMPLOYEES]])))</f>
        <v/>
      </c>
      <c r="AV32" s="106"/>
      <c r="AW32" s="64" t="str">
        <f>IF(OR(TBL_FRF_DATA[[#This Row],[SBA_ELIGIBILITY_BUSACTUAL_VALUE]]="",TBL_FRF_DATA[[#This Row],[SBA_ELIGIBILITY_MAX_VALUE]]=""),"",IF(TBL_FRF_DATA[[#This Row],[SBA_ELIGIBILITY_BUSACTUAL_VALUE]]&lt;=TBL_FRF_DATA[[#This Row],[SBA_ELIGIBILITY_MAX_VALUE]],"Yes","No"))</f>
        <v/>
      </c>
      <c r="AX32" s="65"/>
      <c r="AY32" s="66"/>
      <c r="AZ32" s="67"/>
      <c r="BA32" s="68"/>
      <c r="BB32" s="85"/>
      <c r="BC32" s="69"/>
      <c r="BD32" s="67"/>
      <c r="BE32" s="68"/>
      <c r="BF32" s="70"/>
    </row>
    <row r="33" spans="2:58" s="31" customFormat="1" ht="26.25" customHeight="1" x14ac:dyDescent="0.2">
      <c r="B33"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3"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3"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3" s="29" t="b">
        <f>AND(TBL_FRF_DATA[[#This Row],[RECORD_STARTED]],(COUNTIFS(TBL_FRF_DATA[RECORD_STARTED],FALSE,TBL_FRF_DATA[ROW_ID],"&lt;"&amp;TBL_FRF_DATA[[#This Row],[ROW_ID]])&gt;0))</f>
        <v>0</v>
      </c>
      <c r="F33" s="27" t="str">
        <f>IF(TBL_FRF_DATA[[#This Row],[RECORD_STARTED]],IF(TBL_FRF_DATA[[#This Row],[ERROR_COUNT]]&gt;0,-1,IF(TBL_FRF_DATA[[#This Row],[REQ_FIELDS_POP]],1,0)),"")</f>
        <v/>
      </c>
      <c r="G33" s="35">
        <f>ROW()-ROW(TBL_FRF_DATA[[#Headers],[ROW_ID]])</f>
        <v>12</v>
      </c>
      <c r="H33" s="55">
        <f t="shared" si="1"/>
        <v>0</v>
      </c>
      <c r="I33" s="28" t="str">
        <f t="shared" si="2"/>
        <v>CV19SBRG___0_0__</v>
      </c>
      <c r="J33" s="28" t="str">
        <f t="shared" si="3"/>
        <v/>
      </c>
      <c r="K33" s="28" t="b">
        <f>OR(TBL_FRF_DATA[[#This Row],[ORGANIZATION_TYPE]]=RANGE_ORG_TYPE_NONPROFIT,TBL_FRF_DATA[[#This Row],[TRIBAL_LAND_FLAG]]=RANGE_YESNO_YES)</f>
        <v>0</v>
      </c>
      <c r="L33" s="28" t="b">
        <f>OR(TBL_FRF_DATA[[#This Row],[ADDRESS_STATE]]="PR",TBL_FRF_DATA[[#This Row],[ADDRESS_STATE]]="VI")</f>
        <v>0</v>
      </c>
      <c r="M33" s="120"/>
      <c r="N33" s="120"/>
      <c r="O33" s="118"/>
      <c r="P33" s="118"/>
      <c r="Q33" s="32"/>
      <c r="R33" s="33"/>
      <c r="S33" s="118"/>
      <c r="T33" s="32"/>
      <c r="U33" s="34"/>
      <c r="V33" s="122"/>
      <c r="W33" s="122"/>
      <c r="X33" s="122"/>
      <c r="Y33" s="114"/>
      <c r="Z33" s="122"/>
      <c r="AA33" s="122"/>
      <c r="AB33" s="126"/>
      <c r="AC33" s="112"/>
      <c r="AD33" s="112"/>
      <c r="AE33" s="126"/>
      <c r="AF33" s="92"/>
      <c r="AG33" s="112"/>
      <c r="AH33" s="98"/>
      <c r="AI33" s="109"/>
      <c r="AJ33" s="104"/>
      <c r="AK33" s="101"/>
      <c r="AL33" s="29" t="str">
        <f>IF(OR(TBL_FRF_DATA[[#This Row],[ELIGIBILITY_BASIS]]="",$U33&lt;0),"",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3" s="125"/>
      <c r="AN33" s="29" t="str">
        <f>IF(AND(TBL_FRF_DATA[[#This Row],[ORGANIZATION_TYPE]]=RANGE_ORG_TYPE_NONPROFIT,TBL_FRF_DATA[[#This Row],[NP_ANNUAL_OP_BUDGET]]&lt;&gt;""),IF(TBL_FRF_DATA[[#This Row],[NP_ANNUAL_OP_BUDGET]]&lt;NP_ANNUAL_OPBUDGET_THRESHOLD_ELIGIBILITY,"Yes","No"),"")</f>
        <v/>
      </c>
      <c r="AO33" s="179" t="str">
        <f>IF(TBL_FRF_DATA[[#This Row],[RECORD_STARTED]],"1/1/2019","")</f>
        <v/>
      </c>
      <c r="AP33" s="124"/>
      <c r="AQ33" s="147" t="str">
        <f>IF(TBL_FRF_DATA[[#This Row],[REVENUE_2019_PERIOD_START]]="","",DATE(YEAR(TBL_FRF_DATA[[#This Row],[REVENUE_2019_PERIOD_START]])+1,MONTH(TBL_FRF_DATA[[#This Row],[REVENUE_2019_PERIOD_START]]),DAY(TBL_FRF_DATA[[#This Row],[REVENUE_2019_PERIOD_START]])))</f>
        <v/>
      </c>
      <c r="AR33" s="124"/>
      <c r="AS33" s="130" t="str">
        <f>IF(AND(TBL_FRF_DATA[[#This Row],[REVENUE_2019_AMT]]&lt;&gt;"",TBL_FRF_DATA[[#This Row],[REVENUE_2020_AMT]]&lt;&gt;""),(TBL_FRF_DATA[[#This Row],[REVENUE_2019_AMT]]-TBL_FRF_DATA[[#This Row],[REVENUE_2020_AMT]])/TBL_FRF_DATA[[#This Row],[REVENUE_2019_AMT]],"")</f>
        <v/>
      </c>
      <c r="AT33" s="129" t="str">
        <f>IF(TBL_FRF_DATA[[#This Row],[REVENUE_PCT_CHANGE]]&lt;&gt;"",IF(TBL_FRF_DATA[[#This Row],[REVENUE_PCT_CHANGE]]&gt;=REVENUE_DECLINE_THRESHOLD_ELIGIBILITY,"Yes","No"),"")</f>
        <v/>
      </c>
      <c r="AU33" s="115" t="str">
        <f>IF(TBL_FRF_DATA[[#This Row],[ELIGIBILITY_BASIS]]="","",IF(TBL_FRF_DATA[[#This Row],[ELIGIBILITY_BASIS]]=ELIG_BASIS_ANNUAL_RECEIPTS,IF(TBL_FRF_DATA[[#This Row],[ANNUAL_RECEIPTS]]="","",TBL_FRF_DATA[[#This Row],[ANNUAL_RECEIPTS]]),IF(TBL_FRF_DATA[[#This Row],[NUMBER_EMPLOYEES]]="","",TBL_FRF_DATA[[#This Row],[NUMBER_EMPLOYEES]])))</f>
        <v/>
      </c>
      <c r="AV33" s="106"/>
      <c r="AW33" s="64" t="str">
        <f>IF(OR(TBL_FRF_DATA[[#This Row],[SBA_ELIGIBILITY_BUSACTUAL_VALUE]]="",TBL_FRF_DATA[[#This Row],[SBA_ELIGIBILITY_MAX_VALUE]]=""),"",IF(TBL_FRF_DATA[[#This Row],[SBA_ELIGIBILITY_BUSACTUAL_VALUE]]&lt;=TBL_FRF_DATA[[#This Row],[SBA_ELIGIBILITY_MAX_VALUE]],"Yes","No"))</f>
        <v/>
      </c>
      <c r="AX33" s="65"/>
      <c r="AY33" s="66"/>
      <c r="AZ33" s="67"/>
      <c r="BA33" s="68"/>
      <c r="BB33" s="85"/>
      <c r="BC33" s="69"/>
      <c r="BD33" s="67"/>
      <c r="BE33" s="68"/>
      <c r="BF33" s="70"/>
    </row>
    <row r="34" spans="2:58" s="31" customFormat="1" ht="26.25" customHeight="1" x14ac:dyDescent="0.2">
      <c r="B34"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4"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4"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4" s="29" t="b">
        <f>AND(TBL_FRF_DATA[[#This Row],[RECORD_STARTED]],(COUNTIFS(TBL_FRF_DATA[RECORD_STARTED],FALSE,TBL_FRF_DATA[ROW_ID],"&lt;"&amp;TBL_FRF_DATA[[#This Row],[ROW_ID]])&gt;0))</f>
        <v>0</v>
      </c>
      <c r="F34" s="27" t="str">
        <f>IF(TBL_FRF_DATA[[#This Row],[RECORD_STARTED]],IF(TBL_FRF_DATA[[#This Row],[ERROR_COUNT]]&gt;0,-1,IF(TBL_FRF_DATA[[#This Row],[REQ_FIELDS_POP]],1,0)),"")</f>
        <v/>
      </c>
      <c r="G34" s="35">
        <f>ROW()-ROW(TBL_FRF_DATA[[#Headers],[ROW_ID]])</f>
        <v>13</v>
      </c>
      <c r="H34" s="55">
        <f t="shared" si="1"/>
        <v>0</v>
      </c>
      <c r="I34" s="28" t="str">
        <f t="shared" si="2"/>
        <v>CV19SBRG___0_0__</v>
      </c>
      <c r="J34" s="28" t="str">
        <f t="shared" si="3"/>
        <v/>
      </c>
      <c r="K34" s="28" t="b">
        <f>OR(TBL_FRF_DATA[[#This Row],[ORGANIZATION_TYPE]]=RANGE_ORG_TYPE_NONPROFIT,TBL_FRF_DATA[[#This Row],[TRIBAL_LAND_FLAG]]=RANGE_YESNO_YES)</f>
        <v>0</v>
      </c>
      <c r="L34" s="28" t="b">
        <f>OR(TBL_FRF_DATA[[#This Row],[ADDRESS_STATE]]="PR",TBL_FRF_DATA[[#This Row],[ADDRESS_STATE]]="VI")</f>
        <v>0</v>
      </c>
      <c r="M34" s="120"/>
      <c r="N34" s="120"/>
      <c r="O34" s="118"/>
      <c r="P34" s="118"/>
      <c r="Q34" s="32"/>
      <c r="R34" s="33"/>
      <c r="S34" s="118"/>
      <c r="T34" s="32"/>
      <c r="U34" s="34"/>
      <c r="V34" s="122"/>
      <c r="W34" s="122"/>
      <c r="X34" s="122"/>
      <c r="Y34" s="114"/>
      <c r="Z34" s="122"/>
      <c r="AA34" s="122"/>
      <c r="AB34" s="126"/>
      <c r="AC34" s="112"/>
      <c r="AD34" s="112"/>
      <c r="AE34" s="126"/>
      <c r="AF34" s="92"/>
      <c r="AG34" s="112"/>
      <c r="AH34" s="98"/>
      <c r="AI34" s="109"/>
      <c r="AJ34" s="104"/>
      <c r="AK34" s="101"/>
      <c r="AL34" s="29" t="str">
        <f>IF(OR(TBL_FRF_DATA[[#This Row],[ELIGIBILITY_BASIS]]="",$U34&lt;0),"",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4" s="125"/>
      <c r="AN34" s="29" t="str">
        <f>IF(AND(TBL_FRF_DATA[[#This Row],[ORGANIZATION_TYPE]]=RANGE_ORG_TYPE_NONPROFIT,TBL_FRF_DATA[[#This Row],[NP_ANNUAL_OP_BUDGET]]&lt;&gt;""),IF(TBL_FRF_DATA[[#This Row],[NP_ANNUAL_OP_BUDGET]]&lt;NP_ANNUAL_OPBUDGET_THRESHOLD_ELIGIBILITY,"Yes","No"),"")</f>
        <v/>
      </c>
      <c r="AO34" s="179" t="str">
        <f>IF(TBL_FRF_DATA[[#This Row],[RECORD_STARTED]],"1/1/2019","")</f>
        <v/>
      </c>
      <c r="AP34" s="124"/>
      <c r="AQ34" s="147" t="str">
        <f>IF(TBL_FRF_DATA[[#This Row],[REVENUE_2019_PERIOD_START]]="","",DATE(YEAR(TBL_FRF_DATA[[#This Row],[REVENUE_2019_PERIOD_START]])+1,MONTH(TBL_FRF_DATA[[#This Row],[REVENUE_2019_PERIOD_START]]),DAY(TBL_FRF_DATA[[#This Row],[REVENUE_2019_PERIOD_START]])))</f>
        <v/>
      </c>
      <c r="AR34" s="124"/>
      <c r="AS34" s="130" t="str">
        <f>IF(AND(TBL_FRF_DATA[[#This Row],[REVENUE_2019_AMT]]&lt;&gt;"",TBL_FRF_DATA[[#This Row],[REVENUE_2020_AMT]]&lt;&gt;""),(TBL_FRF_DATA[[#This Row],[REVENUE_2019_AMT]]-TBL_FRF_DATA[[#This Row],[REVENUE_2020_AMT]])/TBL_FRF_DATA[[#This Row],[REVENUE_2019_AMT]],"")</f>
        <v/>
      </c>
      <c r="AT34" s="129" t="str">
        <f>IF(TBL_FRF_DATA[[#This Row],[REVENUE_PCT_CHANGE]]&lt;&gt;"",IF(TBL_FRF_DATA[[#This Row],[REVENUE_PCT_CHANGE]]&gt;=REVENUE_DECLINE_THRESHOLD_ELIGIBILITY,"Yes","No"),"")</f>
        <v/>
      </c>
      <c r="AU34" s="115" t="str">
        <f>IF(TBL_FRF_DATA[[#This Row],[ELIGIBILITY_BASIS]]="","",IF(TBL_FRF_DATA[[#This Row],[ELIGIBILITY_BASIS]]=ELIG_BASIS_ANNUAL_RECEIPTS,IF(TBL_FRF_DATA[[#This Row],[ANNUAL_RECEIPTS]]="","",TBL_FRF_DATA[[#This Row],[ANNUAL_RECEIPTS]]),IF(TBL_FRF_DATA[[#This Row],[NUMBER_EMPLOYEES]]="","",TBL_FRF_DATA[[#This Row],[NUMBER_EMPLOYEES]])))</f>
        <v/>
      </c>
      <c r="AV34" s="106"/>
      <c r="AW34" s="64" t="str">
        <f>IF(OR(TBL_FRF_DATA[[#This Row],[SBA_ELIGIBILITY_BUSACTUAL_VALUE]]="",TBL_FRF_DATA[[#This Row],[SBA_ELIGIBILITY_MAX_VALUE]]=""),"",IF(TBL_FRF_DATA[[#This Row],[SBA_ELIGIBILITY_BUSACTUAL_VALUE]]&lt;=TBL_FRF_DATA[[#This Row],[SBA_ELIGIBILITY_MAX_VALUE]],"Yes","No"))</f>
        <v/>
      </c>
      <c r="AX34" s="65"/>
      <c r="AY34" s="66"/>
      <c r="AZ34" s="67"/>
      <c r="BA34" s="68"/>
      <c r="BB34" s="85"/>
      <c r="BC34" s="69"/>
      <c r="BD34" s="67"/>
      <c r="BE34" s="68"/>
      <c r="BF34" s="70"/>
    </row>
    <row r="35" spans="2:58" s="31" customFormat="1" ht="26.25" customHeight="1" x14ac:dyDescent="0.2">
      <c r="B35"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5"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5"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5" s="29" t="b">
        <f>AND(TBL_FRF_DATA[[#This Row],[RECORD_STARTED]],(COUNTIFS(TBL_FRF_DATA[RECORD_STARTED],FALSE,TBL_FRF_DATA[ROW_ID],"&lt;"&amp;TBL_FRF_DATA[[#This Row],[ROW_ID]])&gt;0))</f>
        <v>0</v>
      </c>
      <c r="F35" s="27" t="str">
        <f>IF(TBL_FRF_DATA[[#This Row],[RECORD_STARTED]],IF(TBL_FRF_DATA[[#This Row],[ERROR_COUNT]]&gt;0,-1,IF(TBL_FRF_DATA[[#This Row],[REQ_FIELDS_POP]],1,0)),"")</f>
        <v/>
      </c>
      <c r="G35" s="35">
        <f>ROW()-ROW(TBL_FRF_DATA[[#Headers],[ROW_ID]])</f>
        <v>14</v>
      </c>
      <c r="H35" s="55">
        <f t="shared" si="1"/>
        <v>0</v>
      </c>
      <c r="I35" s="28" t="str">
        <f t="shared" si="2"/>
        <v>CV19SBRG___0_0__</v>
      </c>
      <c r="J35" s="28" t="str">
        <f t="shared" si="3"/>
        <v/>
      </c>
      <c r="K35" s="28" t="b">
        <f>OR(TBL_FRF_DATA[[#This Row],[ORGANIZATION_TYPE]]=RANGE_ORG_TYPE_NONPROFIT,TBL_FRF_DATA[[#This Row],[TRIBAL_LAND_FLAG]]=RANGE_YESNO_YES)</f>
        <v>0</v>
      </c>
      <c r="L35" s="28" t="b">
        <f>OR(TBL_FRF_DATA[[#This Row],[ADDRESS_STATE]]="PR",TBL_FRF_DATA[[#This Row],[ADDRESS_STATE]]="VI")</f>
        <v>0</v>
      </c>
      <c r="M35" s="120"/>
      <c r="N35" s="120"/>
      <c r="O35" s="118"/>
      <c r="P35" s="118"/>
      <c r="Q35" s="32"/>
      <c r="R35" s="33"/>
      <c r="S35" s="118"/>
      <c r="T35" s="32"/>
      <c r="U35" s="34"/>
      <c r="V35" s="122"/>
      <c r="W35" s="122"/>
      <c r="X35" s="122"/>
      <c r="Y35" s="114"/>
      <c r="Z35" s="122"/>
      <c r="AA35" s="122"/>
      <c r="AB35" s="126"/>
      <c r="AC35" s="112"/>
      <c r="AD35" s="112"/>
      <c r="AE35" s="126"/>
      <c r="AF35" s="92"/>
      <c r="AG35" s="112"/>
      <c r="AH35" s="98"/>
      <c r="AI35" s="109"/>
      <c r="AJ35" s="104"/>
      <c r="AK35" s="101"/>
      <c r="AL35" s="29" t="str">
        <f>IF(OR(TBL_FRF_DATA[[#This Row],[ELIGIBILITY_BASIS]]="",$U35&lt;0),"",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5" s="125"/>
      <c r="AN35" s="29" t="str">
        <f>IF(AND(TBL_FRF_DATA[[#This Row],[ORGANIZATION_TYPE]]=RANGE_ORG_TYPE_NONPROFIT,TBL_FRF_DATA[[#This Row],[NP_ANNUAL_OP_BUDGET]]&lt;&gt;""),IF(TBL_FRF_DATA[[#This Row],[NP_ANNUAL_OP_BUDGET]]&lt;NP_ANNUAL_OPBUDGET_THRESHOLD_ELIGIBILITY,"Yes","No"),"")</f>
        <v/>
      </c>
      <c r="AO35" s="179" t="str">
        <f>IF(TBL_FRF_DATA[[#This Row],[RECORD_STARTED]],"1/1/2019","")</f>
        <v/>
      </c>
      <c r="AP35" s="124"/>
      <c r="AQ35" s="147" t="str">
        <f>IF(TBL_FRF_DATA[[#This Row],[REVENUE_2019_PERIOD_START]]="","",DATE(YEAR(TBL_FRF_DATA[[#This Row],[REVENUE_2019_PERIOD_START]])+1,MONTH(TBL_FRF_DATA[[#This Row],[REVENUE_2019_PERIOD_START]]),DAY(TBL_FRF_DATA[[#This Row],[REVENUE_2019_PERIOD_START]])))</f>
        <v/>
      </c>
      <c r="AR35" s="124"/>
      <c r="AS35" s="130" t="str">
        <f>IF(AND(TBL_FRF_DATA[[#This Row],[REVENUE_2019_AMT]]&lt;&gt;"",TBL_FRF_DATA[[#This Row],[REVENUE_2020_AMT]]&lt;&gt;""),(TBL_FRF_DATA[[#This Row],[REVENUE_2019_AMT]]-TBL_FRF_DATA[[#This Row],[REVENUE_2020_AMT]])/TBL_FRF_DATA[[#This Row],[REVENUE_2019_AMT]],"")</f>
        <v/>
      </c>
      <c r="AT35" s="129" t="str">
        <f>IF(TBL_FRF_DATA[[#This Row],[REVENUE_PCT_CHANGE]]&lt;&gt;"",IF(TBL_FRF_DATA[[#This Row],[REVENUE_PCT_CHANGE]]&gt;=REVENUE_DECLINE_THRESHOLD_ELIGIBILITY,"Yes","No"),"")</f>
        <v/>
      </c>
      <c r="AU35" s="115" t="str">
        <f>IF(TBL_FRF_DATA[[#This Row],[ELIGIBILITY_BASIS]]="","",IF(TBL_FRF_DATA[[#This Row],[ELIGIBILITY_BASIS]]=ELIG_BASIS_ANNUAL_RECEIPTS,IF(TBL_FRF_DATA[[#This Row],[ANNUAL_RECEIPTS]]="","",TBL_FRF_DATA[[#This Row],[ANNUAL_RECEIPTS]]),IF(TBL_FRF_DATA[[#This Row],[NUMBER_EMPLOYEES]]="","",TBL_FRF_DATA[[#This Row],[NUMBER_EMPLOYEES]])))</f>
        <v/>
      </c>
      <c r="AV35" s="106"/>
      <c r="AW35" s="64" t="str">
        <f>IF(OR(TBL_FRF_DATA[[#This Row],[SBA_ELIGIBILITY_BUSACTUAL_VALUE]]="",TBL_FRF_DATA[[#This Row],[SBA_ELIGIBILITY_MAX_VALUE]]=""),"",IF(TBL_FRF_DATA[[#This Row],[SBA_ELIGIBILITY_BUSACTUAL_VALUE]]&lt;=TBL_FRF_DATA[[#This Row],[SBA_ELIGIBILITY_MAX_VALUE]],"Yes","No"))</f>
        <v/>
      </c>
      <c r="AX35" s="65"/>
      <c r="AY35" s="66"/>
      <c r="AZ35" s="67"/>
      <c r="BA35" s="68"/>
      <c r="BB35" s="85"/>
      <c r="BC35" s="69"/>
      <c r="BD35" s="67"/>
      <c r="BE35" s="68"/>
      <c r="BF35" s="70"/>
    </row>
    <row r="36" spans="2:58" s="31" customFormat="1" ht="26.25" customHeight="1" x14ac:dyDescent="0.2">
      <c r="B36"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6"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6"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6" s="29" t="b">
        <f>AND(TBL_FRF_DATA[[#This Row],[RECORD_STARTED]],(COUNTIFS(TBL_FRF_DATA[RECORD_STARTED],FALSE,TBL_FRF_DATA[ROW_ID],"&lt;"&amp;TBL_FRF_DATA[[#This Row],[ROW_ID]])&gt;0))</f>
        <v>0</v>
      </c>
      <c r="F36" s="27" t="str">
        <f>IF(TBL_FRF_DATA[[#This Row],[RECORD_STARTED]],IF(TBL_FRF_DATA[[#This Row],[ERROR_COUNT]]&gt;0,-1,IF(TBL_FRF_DATA[[#This Row],[REQ_FIELDS_POP]],1,0)),"")</f>
        <v/>
      </c>
      <c r="G36" s="35">
        <f>ROW()-ROW(TBL_FRF_DATA[[#Headers],[ROW_ID]])</f>
        <v>15</v>
      </c>
      <c r="H36" s="55">
        <f t="shared" si="1"/>
        <v>0</v>
      </c>
      <c r="I36" s="28" t="str">
        <f t="shared" si="2"/>
        <v>CV19SBRG___0_0__</v>
      </c>
      <c r="J36" s="28" t="str">
        <f t="shared" si="3"/>
        <v/>
      </c>
      <c r="K36" s="28" t="b">
        <f>OR(TBL_FRF_DATA[[#This Row],[ORGANIZATION_TYPE]]=RANGE_ORG_TYPE_NONPROFIT,TBL_FRF_DATA[[#This Row],[TRIBAL_LAND_FLAG]]=RANGE_YESNO_YES)</f>
        <v>0</v>
      </c>
      <c r="L36" s="28" t="b">
        <f>OR(TBL_FRF_DATA[[#This Row],[ADDRESS_STATE]]="PR",TBL_FRF_DATA[[#This Row],[ADDRESS_STATE]]="VI")</f>
        <v>0</v>
      </c>
      <c r="M36" s="120"/>
      <c r="N36" s="120"/>
      <c r="O36" s="118"/>
      <c r="P36" s="118"/>
      <c r="Q36" s="32"/>
      <c r="R36" s="33"/>
      <c r="S36" s="118"/>
      <c r="T36" s="32"/>
      <c r="U36" s="34"/>
      <c r="V36" s="122"/>
      <c r="W36" s="122"/>
      <c r="X36" s="122"/>
      <c r="Y36" s="114"/>
      <c r="Z36" s="122"/>
      <c r="AA36" s="122"/>
      <c r="AB36" s="126"/>
      <c r="AC36" s="112"/>
      <c r="AD36" s="112"/>
      <c r="AE36" s="126"/>
      <c r="AF36" s="92"/>
      <c r="AG36" s="112"/>
      <c r="AH36" s="98"/>
      <c r="AI36" s="109"/>
      <c r="AJ36" s="104"/>
      <c r="AK36" s="101"/>
      <c r="AL36" s="29" t="str">
        <f>IF(OR(TBL_FRF_DATA[[#This Row],[ELIGIBILITY_BASIS]]="",$U36&lt;0),"",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6" s="125"/>
      <c r="AN36" s="29" t="str">
        <f>IF(AND(TBL_FRF_DATA[[#This Row],[ORGANIZATION_TYPE]]=RANGE_ORG_TYPE_NONPROFIT,TBL_FRF_DATA[[#This Row],[NP_ANNUAL_OP_BUDGET]]&lt;&gt;""),IF(TBL_FRF_DATA[[#This Row],[NP_ANNUAL_OP_BUDGET]]&lt;NP_ANNUAL_OPBUDGET_THRESHOLD_ELIGIBILITY,"Yes","No"),"")</f>
        <v/>
      </c>
      <c r="AO36" s="179" t="str">
        <f>IF(TBL_FRF_DATA[[#This Row],[RECORD_STARTED]],"1/1/2019","")</f>
        <v/>
      </c>
      <c r="AP36" s="124"/>
      <c r="AQ36" s="147" t="str">
        <f>IF(TBL_FRF_DATA[[#This Row],[REVENUE_2019_PERIOD_START]]="","",DATE(YEAR(TBL_FRF_DATA[[#This Row],[REVENUE_2019_PERIOD_START]])+1,MONTH(TBL_FRF_DATA[[#This Row],[REVENUE_2019_PERIOD_START]]),DAY(TBL_FRF_DATA[[#This Row],[REVENUE_2019_PERIOD_START]])))</f>
        <v/>
      </c>
      <c r="AR36" s="124"/>
      <c r="AS36" s="130" t="str">
        <f>IF(AND(TBL_FRF_DATA[[#This Row],[REVENUE_2019_AMT]]&lt;&gt;"",TBL_FRF_DATA[[#This Row],[REVENUE_2020_AMT]]&lt;&gt;""),(TBL_FRF_DATA[[#This Row],[REVENUE_2019_AMT]]-TBL_FRF_DATA[[#This Row],[REVENUE_2020_AMT]])/TBL_FRF_DATA[[#This Row],[REVENUE_2019_AMT]],"")</f>
        <v/>
      </c>
      <c r="AT36" s="129" t="str">
        <f>IF(TBL_FRF_DATA[[#This Row],[REVENUE_PCT_CHANGE]]&lt;&gt;"",IF(TBL_FRF_DATA[[#This Row],[REVENUE_PCT_CHANGE]]&gt;=REVENUE_DECLINE_THRESHOLD_ELIGIBILITY,"Yes","No"),"")</f>
        <v/>
      </c>
      <c r="AU36" s="115" t="str">
        <f>IF(TBL_FRF_DATA[[#This Row],[ELIGIBILITY_BASIS]]="","",IF(TBL_FRF_DATA[[#This Row],[ELIGIBILITY_BASIS]]=ELIG_BASIS_ANNUAL_RECEIPTS,IF(TBL_FRF_DATA[[#This Row],[ANNUAL_RECEIPTS]]="","",TBL_FRF_DATA[[#This Row],[ANNUAL_RECEIPTS]]),IF(TBL_FRF_DATA[[#This Row],[NUMBER_EMPLOYEES]]="","",TBL_FRF_DATA[[#This Row],[NUMBER_EMPLOYEES]])))</f>
        <v/>
      </c>
      <c r="AV36" s="106"/>
      <c r="AW36" s="64" t="str">
        <f>IF(OR(TBL_FRF_DATA[[#This Row],[SBA_ELIGIBILITY_BUSACTUAL_VALUE]]="",TBL_FRF_DATA[[#This Row],[SBA_ELIGIBILITY_MAX_VALUE]]=""),"",IF(TBL_FRF_DATA[[#This Row],[SBA_ELIGIBILITY_BUSACTUAL_VALUE]]&lt;=TBL_FRF_DATA[[#This Row],[SBA_ELIGIBILITY_MAX_VALUE]],"Yes","No"))</f>
        <v/>
      </c>
      <c r="AX36" s="65"/>
      <c r="AY36" s="66"/>
      <c r="AZ36" s="67"/>
      <c r="BA36" s="68"/>
      <c r="BB36" s="85"/>
      <c r="BC36" s="69"/>
      <c r="BD36" s="67"/>
      <c r="BE36" s="68"/>
      <c r="BF36" s="70"/>
    </row>
    <row r="37" spans="2:58" s="31" customFormat="1" ht="26.25" customHeight="1" x14ac:dyDescent="0.2">
      <c r="B37"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7"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7"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7" s="29" t="b">
        <f>AND(TBL_FRF_DATA[[#This Row],[RECORD_STARTED]],(COUNTIFS(TBL_FRF_DATA[RECORD_STARTED],FALSE,TBL_FRF_DATA[ROW_ID],"&lt;"&amp;TBL_FRF_DATA[[#This Row],[ROW_ID]])&gt;0))</f>
        <v>0</v>
      </c>
      <c r="F37" s="27" t="str">
        <f>IF(TBL_FRF_DATA[[#This Row],[RECORD_STARTED]],IF(TBL_FRF_DATA[[#This Row],[ERROR_COUNT]]&gt;0,-1,IF(TBL_FRF_DATA[[#This Row],[REQ_FIELDS_POP]],1,0)),"")</f>
        <v/>
      </c>
      <c r="G37" s="35">
        <f>ROW()-ROW(TBL_FRF_DATA[[#Headers],[ROW_ID]])</f>
        <v>16</v>
      </c>
      <c r="H37" s="55">
        <f t="shared" si="1"/>
        <v>0</v>
      </c>
      <c r="I37" s="28" t="str">
        <f t="shared" si="2"/>
        <v>CV19SBRG___0_0__</v>
      </c>
      <c r="J37" s="28" t="str">
        <f t="shared" si="3"/>
        <v/>
      </c>
      <c r="K37" s="28" t="b">
        <f>OR(TBL_FRF_DATA[[#This Row],[ORGANIZATION_TYPE]]=RANGE_ORG_TYPE_NONPROFIT,TBL_FRF_DATA[[#This Row],[TRIBAL_LAND_FLAG]]=RANGE_YESNO_YES)</f>
        <v>0</v>
      </c>
      <c r="L37" s="28" t="b">
        <f>OR(TBL_FRF_DATA[[#This Row],[ADDRESS_STATE]]="PR",TBL_FRF_DATA[[#This Row],[ADDRESS_STATE]]="VI")</f>
        <v>0</v>
      </c>
      <c r="M37" s="120"/>
      <c r="N37" s="120"/>
      <c r="O37" s="118"/>
      <c r="P37" s="118"/>
      <c r="Q37" s="32"/>
      <c r="R37" s="33"/>
      <c r="S37" s="118"/>
      <c r="T37" s="32"/>
      <c r="U37" s="34"/>
      <c r="V37" s="122"/>
      <c r="W37" s="122"/>
      <c r="X37" s="122"/>
      <c r="Y37" s="114"/>
      <c r="Z37" s="122"/>
      <c r="AA37" s="122"/>
      <c r="AB37" s="126"/>
      <c r="AC37" s="112"/>
      <c r="AD37" s="112"/>
      <c r="AE37" s="126"/>
      <c r="AF37" s="92"/>
      <c r="AG37" s="112"/>
      <c r="AH37" s="98"/>
      <c r="AI37" s="109"/>
      <c r="AJ37" s="104"/>
      <c r="AK37" s="101"/>
      <c r="AL37" s="29" t="str">
        <f>IF(OR(TBL_FRF_DATA[[#This Row],[ELIGIBILITY_BASIS]]="",$U37&lt;0),"",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7" s="125"/>
      <c r="AN37" s="29" t="str">
        <f>IF(AND(TBL_FRF_DATA[[#This Row],[ORGANIZATION_TYPE]]=RANGE_ORG_TYPE_NONPROFIT,TBL_FRF_DATA[[#This Row],[NP_ANNUAL_OP_BUDGET]]&lt;&gt;""),IF(TBL_FRF_DATA[[#This Row],[NP_ANNUAL_OP_BUDGET]]&lt;NP_ANNUAL_OPBUDGET_THRESHOLD_ELIGIBILITY,"Yes","No"),"")</f>
        <v/>
      </c>
      <c r="AO37" s="179" t="str">
        <f>IF(TBL_FRF_DATA[[#This Row],[RECORD_STARTED]],"1/1/2019","")</f>
        <v/>
      </c>
      <c r="AP37" s="124"/>
      <c r="AQ37" s="147" t="str">
        <f>IF(TBL_FRF_DATA[[#This Row],[REVENUE_2019_PERIOD_START]]="","",DATE(YEAR(TBL_FRF_DATA[[#This Row],[REVENUE_2019_PERIOD_START]])+1,MONTH(TBL_FRF_DATA[[#This Row],[REVENUE_2019_PERIOD_START]]),DAY(TBL_FRF_DATA[[#This Row],[REVENUE_2019_PERIOD_START]])))</f>
        <v/>
      </c>
      <c r="AR37" s="124"/>
      <c r="AS37" s="130" t="str">
        <f>IF(AND(TBL_FRF_DATA[[#This Row],[REVENUE_2019_AMT]]&lt;&gt;"",TBL_FRF_DATA[[#This Row],[REVENUE_2020_AMT]]&lt;&gt;""),(TBL_FRF_DATA[[#This Row],[REVENUE_2019_AMT]]-TBL_FRF_DATA[[#This Row],[REVENUE_2020_AMT]])/TBL_FRF_DATA[[#This Row],[REVENUE_2019_AMT]],"")</f>
        <v/>
      </c>
      <c r="AT37" s="129" t="str">
        <f>IF(TBL_FRF_DATA[[#This Row],[REVENUE_PCT_CHANGE]]&lt;&gt;"",IF(TBL_FRF_DATA[[#This Row],[REVENUE_PCT_CHANGE]]&gt;=REVENUE_DECLINE_THRESHOLD_ELIGIBILITY,"Yes","No"),"")</f>
        <v/>
      </c>
      <c r="AU37" s="115" t="str">
        <f>IF(TBL_FRF_DATA[[#This Row],[ELIGIBILITY_BASIS]]="","",IF(TBL_FRF_DATA[[#This Row],[ELIGIBILITY_BASIS]]=ELIG_BASIS_ANNUAL_RECEIPTS,IF(TBL_FRF_DATA[[#This Row],[ANNUAL_RECEIPTS]]="","",TBL_FRF_DATA[[#This Row],[ANNUAL_RECEIPTS]]),IF(TBL_FRF_DATA[[#This Row],[NUMBER_EMPLOYEES]]="","",TBL_FRF_DATA[[#This Row],[NUMBER_EMPLOYEES]])))</f>
        <v/>
      </c>
      <c r="AV37" s="106"/>
      <c r="AW37" s="64" t="str">
        <f>IF(OR(TBL_FRF_DATA[[#This Row],[SBA_ELIGIBILITY_BUSACTUAL_VALUE]]="",TBL_FRF_DATA[[#This Row],[SBA_ELIGIBILITY_MAX_VALUE]]=""),"",IF(TBL_FRF_DATA[[#This Row],[SBA_ELIGIBILITY_BUSACTUAL_VALUE]]&lt;=TBL_FRF_DATA[[#This Row],[SBA_ELIGIBILITY_MAX_VALUE]],"Yes","No"))</f>
        <v/>
      </c>
      <c r="AX37" s="65"/>
      <c r="AY37" s="66"/>
      <c r="AZ37" s="67"/>
      <c r="BA37" s="68"/>
      <c r="BB37" s="85"/>
      <c r="BC37" s="69"/>
      <c r="BD37" s="67"/>
      <c r="BE37" s="68"/>
      <c r="BF37" s="70"/>
    </row>
    <row r="38" spans="2:58" s="31" customFormat="1" ht="26.25" customHeight="1" x14ac:dyDescent="0.2">
      <c r="B38"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8"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8"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8" s="29" t="b">
        <f>AND(TBL_FRF_DATA[[#This Row],[RECORD_STARTED]],(COUNTIFS(TBL_FRF_DATA[RECORD_STARTED],FALSE,TBL_FRF_DATA[ROW_ID],"&lt;"&amp;TBL_FRF_DATA[[#This Row],[ROW_ID]])&gt;0))</f>
        <v>0</v>
      </c>
      <c r="F38" s="27" t="str">
        <f>IF(TBL_FRF_DATA[[#This Row],[RECORD_STARTED]],IF(TBL_FRF_DATA[[#This Row],[ERROR_COUNT]]&gt;0,-1,IF(TBL_FRF_DATA[[#This Row],[REQ_FIELDS_POP]],1,0)),"")</f>
        <v/>
      </c>
      <c r="G38" s="35">
        <f>ROW()-ROW(TBL_FRF_DATA[[#Headers],[ROW_ID]])</f>
        <v>17</v>
      </c>
      <c r="H38" s="55">
        <f t="shared" si="1"/>
        <v>0</v>
      </c>
      <c r="I38" s="28" t="str">
        <f t="shared" si="2"/>
        <v>CV19SBRG___0_0__</v>
      </c>
      <c r="J38" s="28" t="str">
        <f t="shared" si="3"/>
        <v/>
      </c>
      <c r="K38" s="28" t="b">
        <f>OR(TBL_FRF_DATA[[#This Row],[ORGANIZATION_TYPE]]=RANGE_ORG_TYPE_NONPROFIT,TBL_FRF_DATA[[#This Row],[TRIBAL_LAND_FLAG]]=RANGE_YESNO_YES)</f>
        <v>0</v>
      </c>
      <c r="L38" s="28" t="b">
        <f>OR(TBL_FRF_DATA[[#This Row],[ADDRESS_STATE]]="PR",TBL_FRF_DATA[[#This Row],[ADDRESS_STATE]]="VI")</f>
        <v>0</v>
      </c>
      <c r="M38" s="120"/>
      <c r="N38" s="120"/>
      <c r="O38" s="118"/>
      <c r="P38" s="118"/>
      <c r="Q38" s="32"/>
      <c r="R38" s="33"/>
      <c r="S38" s="118"/>
      <c r="T38" s="32"/>
      <c r="U38" s="34"/>
      <c r="V38" s="122"/>
      <c r="W38" s="122"/>
      <c r="X38" s="122"/>
      <c r="Y38" s="114"/>
      <c r="Z38" s="122"/>
      <c r="AA38" s="122"/>
      <c r="AB38" s="126"/>
      <c r="AC38" s="112"/>
      <c r="AD38" s="112"/>
      <c r="AE38" s="126"/>
      <c r="AF38" s="92"/>
      <c r="AG38" s="112"/>
      <c r="AH38" s="98"/>
      <c r="AI38" s="109"/>
      <c r="AJ38" s="104"/>
      <c r="AK38" s="101"/>
      <c r="AL38" s="29" t="str">
        <f>IF(OR(TBL_FRF_DATA[[#This Row],[ELIGIBILITY_BASIS]]="",$U38&lt;0),"",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8" s="125"/>
      <c r="AN38" s="29" t="str">
        <f>IF(AND(TBL_FRF_DATA[[#This Row],[ORGANIZATION_TYPE]]=RANGE_ORG_TYPE_NONPROFIT,TBL_FRF_DATA[[#This Row],[NP_ANNUAL_OP_BUDGET]]&lt;&gt;""),IF(TBL_FRF_DATA[[#This Row],[NP_ANNUAL_OP_BUDGET]]&lt;NP_ANNUAL_OPBUDGET_THRESHOLD_ELIGIBILITY,"Yes","No"),"")</f>
        <v/>
      </c>
      <c r="AO38" s="179" t="str">
        <f>IF(TBL_FRF_DATA[[#This Row],[RECORD_STARTED]],"1/1/2019","")</f>
        <v/>
      </c>
      <c r="AP38" s="124"/>
      <c r="AQ38" s="147" t="str">
        <f>IF(TBL_FRF_DATA[[#This Row],[REVENUE_2019_PERIOD_START]]="","",DATE(YEAR(TBL_FRF_DATA[[#This Row],[REVENUE_2019_PERIOD_START]])+1,MONTH(TBL_FRF_DATA[[#This Row],[REVENUE_2019_PERIOD_START]]),DAY(TBL_FRF_DATA[[#This Row],[REVENUE_2019_PERIOD_START]])))</f>
        <v/>
      </c>
      <c r="AR38" s="124"/>
      <c r="AS38" s="130" t="str">
        <f>IF(AND(TBL_FRF_DATA[[#This Row],[REVENUE_2019_AMT]]&lt;&gt;"",TBL_FRF_DATA[[#This Row],[REVENUE_2020_AMT]]&lt;&gt;""),(TBL_FRF_DATA[[#This Row],[REVENUE_2019_AMT]]-TBL_FRF_DATA[[#This Row],[REVENUE_2020_AMT]])/TBL_FRF_DATA[[#This Row],[REVENUE_2019_AMT]],"")</f>
        <v/>
      </c>
      <c r="AT38" s="129" t="str">
        <f>IF(TBL_FRF_DATA[[#This Row],[REVENUE_PCT_CHANGE]]&lt;&gt;"",IF(TBL_FRF_DATA[[#This Row],[REVENUE_PCT_CHANGE]]&gt;=REVENUE_DECLINE_THRESHOLD_ELIGIBILITY,"Yes","No"),"")</f>
        <v/>
      </c>
      <c r="AU38" s="115" t="str">
        <f>IF(TBL_FRF_DATA[[#This Row],[ELIGIBILITY_BASIS]]="","",IF(TBL_FRF_DATA[[#This Row],[ELIGIBILITY_BASIS]]=ELIG_BASIS_ANNUAL_RECEIPTS,IF(TBL_FRF_DATA[[#This Row],[ANNUAL_RECEIPTS]]="","",TBL_FRF_DATA[[#This Row],[ANNUAL_RECEIPTS]]),IF(TBL_FRF_DATA[[#This Row],[NUMBER_EMPLOYEES]]="","",TBL_FRF_DATA[[#This Row],[NUMBER_EMPLOYEES]])))</f>
        <v/>
      </c>
      <c r="AV38" s="106"/>
      <c r="AW38" s="64" t="str">
        <f>IF(OR(TBL_FRF_DATA[[#This Row],[SBA_ELIGIBILITY_BUSACTUAL_VALUE]]="",TBL_FRF_DATA[[#This Row],[SBA_ELIGIBILITY_MAX_VALUE]]=""),"",IF(TBL_FRF_DATA[[#This Row],[SBA_ELIGIBILITY_BUSACTUAL_VALUE]]&lt;=TBL_FRF_DATA[[#This Row],[SBA_ELIGIBILITY_MAX_VALUE]],"Yes","No"))</f>
        <v/>
      </c>
      <c r="AX38" s="65"/>
      <c r="AY38" s="66"/>
      <c r="AZ38" s="67"/>
      <c r="BA38" s="68"/>
      <c r="BB38" s="85"/>
      <c r="BC38" s="69"/>
      <c r="BD38" s="67"/>
      <c r="BE38" s="68"/>
      <c r="BF38" s="70"/>
    </row>
    <row r="39" spans="2:58" s="31" customFormat="1" ht="26.25" customHeight="1" x14ac:dyDescent="0.2">
      <c r="B39"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39"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39"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39" s="29" t="b">
        <f>AND(TBL_FRF_DATA[[#This Row],[RECORD_STARTED]],(COUNTIFS(TBL_FRF_DATA[RECORD_STARTED],FALSE,TBL_FRF_DATA[ROW_ID],"&lt;"&amp;TBL_FRF_DATA[[#This Row],[ROW_ID]])&gt;0))</f>
        <v>0</v>
      </c>
      <c r="F39" s="27" t="str">
        <f>IF(TBL_FRF_DATA[[#This Row],[RECORD_STARTED]],IF(TBL_FRF_DATA[[#This Row],[ERROR_COUNT]]&gt;0,-1,IF(TBL_FRF_DATA[[#This Row],[REQ_FIELDS_POP]],1,0)),"")</f>
        <v/>
      </c>
      <c r="G39" s="35">
        <f>ROW()-ROW(TBL_FRF_DATA[[#Headers],[ROW_ID]])</f>
        <v>18</v>
      </c>
      <c r="H39" s="55">
        <f t="shared" si="1"/>
        <v>0</v>
      </c>
      <c r="I39" s="28" t="str">
        <f t="shared" si="2"/>
        <v>CV19SBRG___0_0__</v>
      </c>
      <c r="J39" s="28" t="str">
        <f t="shared" si="3"/>
        <v/>
      </c>
      <c r="K39" s="28" t="b">
        <f>OR(TBL_FRF_DATA[[#This Row],[ORGANIZATION_TYPE]]=RANGE_ORG_TYPE_NONPROFIT,TBL_FRF_DATA[[#This Row],[TRIBAL_LAND_FLAG]]=RANGE_YESNO_YES)</f>
        <v>0</v>
      </c>
      <c r="L39" s="28" t="b">
        <f>OR(TBL_FRF_DATA[[#This Row],[ADDRESS_STATE]]="PR",TBL_FRF_DATA[[#This Row],[ADDRESS_STATE]]="VI")</f>
        <v>0</v>
      </c>
      <c r="M39" s="120"/>
      <c r="N39" s="120"/>
      <c r="O39" s="118"/>
      <c r="P39" s="118"/>
      <c r="Q39" s="32"/>
      <c r="R39" s="33"/>
      <c r="S39" s="118"/>
      <c r="T39" s="32"/>
      <c r="U39" s="34"/>
      <c r="V39" s="122"/>
      <c r="W39" s="122"/>
      <c r="X39" s="122"/>
      <c r="Y39" s="114"/>
      <c r="Z39" s="122"/>
      <c r="AA39" s="122"/>
      <c r="AB39" s="126"/>
      <c r="AC39" s="112"/>
      <c r="AD39" s="112"/>
      <c r="AE39" s="126"/>
      <c r="AF39" s="92"/>
      <c r="AG39" s="112"/>
      <c r="AH39" s="98"/>
      <c r="AI39" s="109"/>
      <c r="AJ39" s="104"/>
      <c r="AK39" s="101"/>
      <c r="AL39" s="29" t="str">
        <f>IF(OR(TBL_FRF_DATA[[#This Row],[ELIGIBILITY_BASIS]]="",$U39&lt;0),"",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39" s="125"/>
      <c r="AN39" s="29" t="str">
        <f>IF(AND(TBL_FRF_DATA[[#This Row],[ORGANIZATION_TYPE]]=RANGE_ORG_TYPE_NONPROFIT,TBL_FRF_DATA[[#This Row],[NP_ANNUAL_OP_BUDGET]]&lt;&gt;""),IF(TBL_FRF_DATA[[#This Row],[NP_ANNUAL_OP_BUDGET]]&lt;NP_ANNUAL_OPBUDGET_THRESHOLD_ELIGIBILITY,"Yes","No"),"")</f>
        <v/>
      </c>
      <c r="AO39" s="179" t="str">
        <f>IF(TBL_FRF_DATA[[#This Row],[RECORD_STARTED]],"1/1/2019","")</f>
        <v/>
      </c>
      <c r="AP39" s="124"/>
      <c r="AQ39" s="147" t="str">
        <f>IF(TBL_FRF_DATA[[#This Row],[REVENUE_2019_PERIOD_START]]="","",DATE(YEAR(TBL_FRF_DATA[[#This Row],[REVENUE_2019_PERIOD_START]])+1,MONTH(TBL_FRF_DATA[[#This Row],[REVENUE_2019_PERIOD_START]]),DAY(TBL_FRF_DATA[[#This Row],[REVENUE_2019_PERIOD_START]])))</f>
        <v/>
      </c>
      <c r="AR39" s="124"/>
      <c r="AS39" s="130" t="str">
        <f>IF(AND(TBL_FRF_DATA[[#This Row],[REVENUE_2019_AMT]]&lt;&gt;"",TBL_FRF_DATA[[#This Row],[REVENUE_2020_AMT]]&lt;&gt;""),(TBL_FRF_DATA[[#This Row],[REVENUE_2019_AMT]]-TBL_FRF_DATA[[#This Row],[REVENUE_2020_AMT]])/TBL_FRF_DATA[[#This Row],[REVENUE_2019_AMT]],"")</f>
        <v/>
      </c>
      <c r="AT39" s="129" t="str">
        <f>IF(TBL_FRF_DATA[[#This Row],[REVENUE_PCT_CHANGE]]&lt;&gt;"",IF(TBL_FRF_DATA[[#This Row],[REVENUE_PCT_CHANGE]]&gt;=REVENUE_DECLINE_THRESHOLD_ELIGIBILITY,"Yes","No"),"")</f>
        <v/>
      </c>
      <c r="AU39" s="115" t="str">
        <f>IF(TBL_FRF_DATA[[#This Row],[ELIGIBILITY_BASIS]]="","",IF(TBL_FRF_DATA[[#This Row],[ELIGIBILITY_BASIS]]=ELIG_BASIS_ANNUAL_RECEIPTS,IF(TBL_FRF_DATA[[#This Row],[ANNUAL_RECEIPTS]]="","",TBL_FRF_DATA[[#This Row],[ANNUAL_RECEIPTS]]),IF(TBL_FRF_DATA[[#This Row],[NUMBER_EMPLOYEES]]="","",TBL_FRF_DATA[[#This Row],[NUMBER_EMPLOYEES]])))</f>
        <v/>
      </c>
      <c r="AV39" s="106"/>
      <c r="AW39" s="64" t="str">
        <f>IF(OR(TBL_FRF_DATA[[#This Row],[SBA_ELIGIBILITY_BUSACTUAL_VALUE]]="",TBL_FRF_DATA[[#This Row],[SBA_ELIGIBILITY_MAX_VALUE]]=""),"",IF(TBL_FRF_DATA[[#This Row],[SBA_ELIGIBILITY_BUSACTUAL_VALUE]]&lt;=TBL_FRF_DATA[[#This Row],[SBA_ELIGIBILITY_MAX_VALUE]],"Yes","No"))</f>
        <v/>
      </c>
      <c r="AX39" s="65"/>
      <c r="AY39" s="66"/>
      <c r="AZ39" s="67"/>
      <c r="BA39" s="68"/>
      <c r="BB39" s="85"/>
      <c r="BC39" s="69"/>
      <c r="BD39" s="67"/>
      <c r="BE39" s="68"/>
      <c r="BF39" s="70"/>
    </row>
    <row r="40" spans="2:58" s="31" customFormat="1" ht="26.25" customHeight="1" x14ac:dyDescent="0.2">
      <c r="B40"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0"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0"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0" s="29" t="b">
        <f>AND(TBL_FRF_DATA[[#This Row],[RECORD_STARTED]],(COUNTIFS(TBL_FRF_DATA[RECORD_STARTED],FALSE,TBL_FRF_DATA[ROW_ID],"&lt;"&amp;TBL_FRF_DATA[[#This Row],[ROW_ID]])&gt;0))</f>
        <v>0</v>
      </c>
      <c r="F40" s="27" t="str">
        <f>IF(TBL_FRF_DATA[[#This Row],[RECORD_STARTED]],IF(TBL_FRF_DATA[[#This Row],[ERROR_COUNT]]&gt;0,-1,IF(TBL_FRF_DATA[[#This Row],[REQ_FIELDS_POP]],1,0)),"")</f>
        <v/>
      </c>
      <c r="G40" s="35">
        <f>ROW()-ROW(TBL_FRF_DATA[[#Headers],[ROW_ID]])</f>
        <v>19</v>
      </c>
      <c r="H40" s="55">
        <f t="shared" si="1"/>
        <v>0</v>
      </c>
      <c r="I40" s="28" t="str">
        <f t="shared" si="2"/>
        <v>CV19SBRG___0_0__</v>
      </c>
      <c r="J40" s="28" t="str">
        <f t="shared" si="3"/>
        <v/>
      </c>
      <c r="K40" s="28" t="b">
        <f>OR(TBL_FRF_DATA[[#This Row],[ORGANIZATION_TYPE]]=RANGE_ORG_TYPE_NONPROFIT,TBL_FRF_DATA[[#This Row],[TRIBAL_LAND_FLAG]]=RANGE_YESNO_YES)</f>
        <v>0</v>
      </c>
      <c r="L40" s="28" t="b">
        <f>OR(TBL_FRF_DATA[[#This Row],[ADDRESS_STATE]]="PR",TBL_FRF_DATA[[#This Row],[ADDRESS_STATE]]="VI")</f>
        <v>0</v>
      </c>
      <c r="M40" s="120"/>
      <c r="N40" s="120"/>
      <c r="O40" s="118"/>
      <c r="P40" s="118"/>
      <c r="Q40" s="32"/>
      <c r="R40" s="33"/>
      <c r="S40" s="118"/>
      <c r="T40" s="32"/>
      <c r="U40" s="34"/>
      <c r="V40" s="122"/>
      <c r="W40" s="122"/>
      <c r="X40" s="122"/>
      <c r="Y40" s="114"/>
      <c r="Z40" s="122"/>
      <c r="AA40" s="122"/>
      <c r="AB40" s="126"/>
      <c r="AC40" s="112"/>
      <c r="AD40" s="112"/>
      <c r="AE40" s="126"/>
      <c r="AF40" s="92"/>
      <c r="AG40" s="112"/>
      <c r="AH40" s="98"/>
      <c r="AI40" s="109"/>
      <c r="AJ40" s="104"/>
      <c r="AK40" s="101"/>
      <c r="AL40" s="29" t="str">
        <f>IF(OR(TBL_FRF_DATA[[#This Row],[ELIGIBILITY_BASIS]]="",$U40&lt;0),"",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0" s="125"/>
      <c r="AN40" s="29" t="str">
        <f>IF(AND(TBL_FRF_DATA[[#This Row],[ORGANIZATION_TYPE]]=RANGE_ORG_TYPE_NONPROFIT,TBL_FRF_DATA[[#This Row],[NP_ANNUAL_OP_BUDGET]]&lt;&gt;""),IF(TBL_FRF_DATA[[#This Row],[NP_ANNUAL_OP_BUDGET]]&lt;NP_ANNUAL_OPBUDGET_THRESHOLD_ELIGIBILITY,"Yes","No"),"")</f>
        <v/>
      </c>
      <c r="AO40" s="179" t="str">
        <f>IF(TBL_FRF_DATA[[#This Row],[RECORD_STARTED]],"1/1/2019","")</f>
        <v/>
      </c>
      <c r="AP40" s="124"/>
      <c r="AQ40" s="147" t="str">
        <f>IF(TBL_FRF_DATA[[#This Row],[REVENUE_2019_PERIOD_START]]="","",DATE(YEAR(TBL_FRF_DATA[[#This Row],[REVENUE_2019_PERIOD_START]])+1,MONTH(TBL_FRF_DATA[[#This Row],[REVENUE_2019_PERIOD_START]]),DAY(TBL_FRF_DATA[[#This Row],[REVENUE_2019_PERIOD_START]])))</f>
        <v/>
      </c>
      <c r="AR40" s="124"/>
      <c r="AS40" s="130" t="str">
        <f>IF(AND(TBL_FRF_DATA[[#This Row],[REVENUE_2019_AMT]]&lt;&gt;"",TBL_FRF_DATA[[#This Row],[REVENUE_2020_AMT]]&lt;&gt;""),(TBL_FRF_DATA[[#This Row],[REVENUE_2019_AMT]]-TBL_FRF_DATA[[#This Row],[REVENUE_2020_AMT]])/TBL_FRF_DATA[[#This Row],[REVENUE_2019_AMT]],"")</f>
        <v/>
      </c>
      <c r="AT40" s="129" t="str">
        <f>IF(TBL_FRF_DATA[[#This Row],[REVENUE_PCT_CHANGE]]&lt;&gt;"",IF(TBL_FRF_DATA[[#This Row],[REVENUE_PCT_CHANGE]]&gt;=REVENUE_DECLINE_THRESHOLD_ELIGIBILITY,"Yes","No"),"")</f>
        <v/>
      </c>
      <c r="AU40" s="115" t="str">
        <f>IF(TBL_FRF_DATA[[#This Row],[ELIGIBILITY_BASIS]]="","",IF(TBL_FRF_DATA[[#This Row],[ELIGIBILITY_BASIS]]=ELIG_BASIS_ANNUAL_RECEIPTS,IF(TBL_FRF_DATA[[#This Row],[ANNUAL_RECEIPTS]]="","",TBL_FRF_DATA[[#This Row],[ANNUAL_RECEIPTS]]),IF(TBL_FRF_DATA[[#This Row],[NUMBER_EMPLOYEES]]="","",TBL_FRF_DATA[[#This Row],[NUMBER_EMPLOYEES]])))</f>
        <v/>
      </c>
      <c r="AV40" s="106"/>
      <c r="AW40" s="64" t="str">
        <f>IF(OR(TBL_FRF_DATA[[#This Row],[SBA_ELIGIBILITY_BUSACTUAL_VALUE]]="",TBL_FRF_DATA[[#This Row],[SBA_ELIGIBILITY_MAX_VALUE]]=""),"",IF(TBL_FRF_DATA[[#This Row],[SBA_ELIGIBILITY_BUSACTUAL_VALUE]]&lt;=TBL_FRF_DATA[[#This Row],[SBA_ELIGIBILITY_MAX_VALUE]],"Yes","No"))</f>
        <v/>
      </c>
      <c r="AX40" s="65"/>
      <c r="AY40" s="66"/>
      <c r="AZ40" s="67"/>
      <c r="BA40" s="68"/>
      <c r="BB40" s="85"/>
      <c r="BC40" s="69"/>
      <c r="BD40" s="67"/>
      <c r="BE40" s="68"/>
      <c r="BF40" s="70"/>
    </row>
    <row r="41" spans="2:58" s="31" customFormat="1" ht="26.25" customHeight="1" x14ac:dyDescent="0.2">
      <c r="B41"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1"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1"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1" s="29" t="b">
        <f>AND(TBL_FRF_DATA[[#This Row],[RECORD_STARTED]],(COUNTIFS(TBL_FRF_DATA[RECORD_STARTED],FALSE,TBL_FRF_DATA[ROW_ID],"&lt;"&amp;TBL_FRF_DATA[[#This Row],[ROW_ID]])&gt;0))</f>
        <v>0</v>
      </c>
      <c r="F41" s="27" t="str">
        <f>IF(TBL_FRF_DATA[[#This Row],[RECORD_STARTED]],IF(TBL_FRF_DATA[[#This Row],[ERROR_COUNT]]&gt;0,-1,IF(TBL_FRF_DATA[[#This Row],[REQ_FIELDS_POP]],1,0)),"")</f>
        <v/>
      </c>
      <c r="G41" s="35">
        <f>ROW()-ROW(TBL_FRF_DATA[[#Headers],[ROW_ID]])</f>
        <v>20</v>
      </c>
      <c r="H41" s="55">
        <f t="shared" si="1"/>
        <v>0</v>
      </c>
      <c r="I41" s="28" t="str">
        <f t="shared" si="2"/>
        <v>CV19SBRG___0_0__</v>
      </c>
      <c r="J41" s="28" t="str">
        <f t="shared" si="3"/>
        <v/>
      </c>
      <c r="K41" s="28" t="b">
        <f>OR(TBL_FRF_DATA[[#This Row],[ORGANIZATION_TYPE]]=RANGE_ORG_TYPE_NONPROFIT,TBL_FRF_DATA[[#This Row],[TRIBAL_LAND_FLAG]]=RANGE_YESNO_YES)</f>
        <v>0</v>
      </c>
      <c r="L41" s="28" t="b">
        <f>OR(TBL_FRF_DATA[[#This Row],[ADDRESS_STATE]]="PR",TBL_FRF_DATA[[#This Row],[ADDRESS_STATE]]="VI")</f>
        <v>0</v>
      </c>
      <c r="M41" s="120"/>
      <c r="N41" s="120"/>
      <c r="O41" s="118"/>
      <c r="P41" s="118"/>
      <c r="Q41" s="32"/>
      <c r="R41" s="33"/>
      <c r="S41" s="118"/>
      <c r="T41" s="32"/>
      <c r="U41" s="34"/>
      <c r="V41" s="122"/>
      <c r="W41" s="122"/>
      <c r="X41" s="122"/>
      <c r="Y41" s="114"/>
      <c r="Z41" s="122"/>
      <c r="AA41" s="122"/>
      <c r="AB41" s="126"/>
      <c r="AC41" s="112"/>
      <c r="AD41" s="112"/>
      <c r="AE41" s="126"/>
      <c r="AF41" s="92"/>
      <c r="AG41" s="112"/>
      <c r="AH41" s="98"/>
      <c r="AI41" s="109"/>
      <c r="AJ41" s="104"/>
      <c r="AK41" s="101"/>
      <c r="AL41" s="29" t="str">
        <f>IF(OR(TBL_FRF_DATA[[#This Row],[ELIGIBILITY_BASIS]]="",$U41&lt;0),"",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1" s="125"/>
      <c r="AN41" s="29" t="str">
        <f>IF(AND(TBL_FRF_DATA[[#This Row],[ORGANIZATION_TYPE]]=RANGE_ORG_TYPE_NONPROFIT,TBL_FRF_DATA[[#This Row],[NP_ANNUAL_OP_BUDGET]]&lt;&gt;""),IF(TBL_FRF_DATA[[#This Row],[NP_ANNUAL_OP_BUDGET]]&lt;NP_ANNUAL_OPBUDGET_THRESHOLD_ELIGIBILITY,"Yes","No"),"")</f>
        <v/>
      </c>
      <c r="AO41" s="179" t="str">
        <f>IF(TBL_FRF_DATA[[#This Row],[RECORD_STARTED]],"1/1/2019","")</f>
        <v/>
      </c>
      <c r="AP41" s="124"/>
      <c r="AQ41" s="147" t="str">
        <f>IF(TBL_FRF_DATA[[#This Row],[REVENUE_2019_PERIOD_START]]="","",DATE(YEAR(TBL_FRF_DATA[[#This Row],[REVENUE_2019_PERIOD_START]])+1,MONTH(TBL_FRF_DATA[[#This Row],[REVENUE_2019_PERIOD_START]]),DAY(TBL_FRF_DATA[[#This Row],[REVENUE_2019_PERIOD_START]])))</f>
        <v/>
      </c>
      <c r="AR41" s="124"/>
      <c r="AS41" s="130" t="str">
        <f>IF(AND(TBL_FRF_DATA[[#This Row],[REVENUE_2019_AMT]]&lt;&gt;"",TBL_FRF_DATA[[#This Row],[REVENUE_2020_AMT]]&lt;&gt;""),(TBL_FRF_DATA[[#This Row],[REVENUE_2019_AMT]]-TBL_FRF_DATA[[#This Row],[REVENUE_2020_AMT]])/TBL_FRF_DATA[[#This Row],[REVENUE_2019_AMT]],"")</f>
        <v/>
      </c>
      <c r="AT41" s="129" t="str">
        <f>IF(TBL_FRF_DATA[[#This Row],[REVENUE_PCT_CHANGE]]&lt;&gt;"",IF(TBL_FRF_DATA[[#This Row],[REVENUE_PCT_CHANGE]]&gt;=REVENUE_DECLINE_THRESHOLD_ELIGIBILITY,"Yes","No"),"")</f>
        <v/>
      </c>
      <c r="AU41" s="115" t="str">
        <f>IF(TBL_FRF_DATA[[#This Row],[ELIGIBILITY_BASIS]]="","",IF(TBL_FRF_DATA[[#This Row],[ELIGIBILITY_BASIS]]=ELIG_BASIS_ANNUAL_RECEIPTS,IF(TBL_FRF_DATA[[#This Row],[ANNUAL_RECEIPTS]]="","",TBL_FRF_DATA[[#This Row],[ANNUAL_RECEIPTS]]),IF(TBL_FRF_DATA[[#This Row],[NUMBER_EMPLOYEES]]="","",TBL_FRF_DATA[[#This Row],[NUMBER_EMPLOYEES]])))</f>
        <v/>
      </c>
      <c r="AV41" s="106"/>
      <c r="AW41" s="64" t="str">
        <f>IF(OR(TBL_FRF_DATA[[#This Row],[SBA_ELIGIBILITY_BUSACTUAL_VALUE]]="",TBL_FRF_DATA[[#This Row],[SBA_ELIGIBILITY_MAX_VALUE]]=""),"",IF(TBL_FRF_DATA[[#This Row],[SBA_ELIGIBILITY_BUSACTUAL_VALUE]]&lt;=TBL_FRF_DATA[[#This Row],[SBA_ELIGIBILITY_MAX_VALUE]],"Yes","No"))</f>
        <v/>
      </c>
      <c r="AX41" s="65"/>
      <c r="AY41" s="66"/>
      <c r="AZ41" s="67"/>
      <c r="BA41" s="68"/>
      <c r="BB41" s="85"/>
      <c r="BC41" s="69"/>
      <c r="BD41" s="67"/>
      <c r="BE41" s="68"/>
      <c r="BF41" s="70"/>
    </row>
    <row r="42" spans="2:58" s="31" customFormat="1" ht="26.25" customHeight="1" x14ac:dyDescent="0.2">
      <c r="B42"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2"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2"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2" s="29" t="b">
        <f>AND(TBL_FRF_DATA[[#This Row],[RECORD_STARTED]],(COUNTIFS(TBL_FRF_DATA[RECORD_STARTED],FALSE,TBL_FRF_DATA[ROW_ID],"&lt;"&amp;TBL_FRF_DATA[[#This Row],[ROW_ID]])&gt;0))</f>
        <v>0</v>
      </c>
      <c r="F42" s="27" t="str">
        <f>IF(TBL_FRF_DATA[[#This Row],[RECORD_STARTED]],IF(TBL_FRF_DATA[[#This Row],[ERROR_COUNT]]&gt;0,-1,IF(TBL_FRF_DATA[[#This Row],[REQ_FIELDS_POP]],1,0)),"")</f>
        <v/>
      </c>
      <c r="G42" s="35">
        <f>ROW()-ROW(TBL_FRF_DATA[[#Headers],[ROW_ID]])</f>
        <v>21</v>
      </c>
      <c r="H42" s="55">
        <f t="shared" si="1"/>
        <v>0</v>
      </c>
      <c r="I42" s="28" t="str">
        <f t="shared" si="2"/>
        <v>CV19SBRG___0_0__</v>
      </c>
      <c r="J42" s="28" t="str">
        <f t="shared" si="3"/>
        <v/>
      </c>
      <c r="K42" s="28" t="b">
        <f>OR(TBL_FRF_DATA[[#This Row],[ORGANIZATION_TYPE]]=RANGE_ORG_TYPE_NONPROFIT,TBL_FRF_DATA[[#This Row],[TRIBAL_LAND_FLAG]]=RANGE_YESNO_YES)</f>
        <v>0</v>
      </c>
      <c r="L42" s="28" t="b">
        <f>OR(TBL_FRF_DATA[[#This Row],[ADDRESS_STATE]]="PR",TBL_FRF_DATA[[#This Row],[ADDRESS_STATE]]="VI")</f>
        <v>0</v>
      </c>
      <c r="M42" s="120"/>
      <c r="N42" s="120"/>
      <c r="O42" s="118"/>
      <c r="P42" s="118"/>
      <c r="Q42" s="32"/>
      <c r="R42" s="33"/>
      <c r="S42" s="118"/>
      <c r="T42" s="32"/>
      <c r="U42" s="34"/>
      <c r="V42" s="122"/>
      <c r="W42" s="122"/>
      <c r="X42" s="122"/>
      <c r="Y42" s="114"/>
      <c r="Z42" s="122"/>
      <c r="AA42" s="122"/>
      <c r="AB42" s="126"/>
      <c r="AC42" s="112"/>
      <c r="AD42" s="112"/>
      <c r="AE42" s="126"/>
      <c r="AF42" s="92"/>
      <c r="AG42" s="112"/>
      <c r="AH42" s="98"/>
      <c r="AI42" s="109"/>
      <c r="AJ42" s="104"/>
      <c r="AK42" s="101"/>
      <c r="AL42" s="29" t="str">
        <f>IF(OR(TBL_FRF_DATA[[#This Row],[ELIGIBILITY_BASIS]]="",$U42&lt;0),"",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2" s="125"/>
      <c r="AN42" s="29" t="str">
        <f>IF(AND(TBL_FRF_DATA[[#This Row],[ORGANIZATION_TYPE]]=RANGE_ORG_TYPE_NONPROFIT,TBL_FRF_DATA[[#This Row],[NP_ANNUAL_OP_BUDGET]]&lt;&gt;""),IF(TBL_FRF_DATA[[#This Row],[NP_ANNUAL_OP_BUDGET]]&lt;NP_ANNUAL_OPBUDGET_THRESHOLD_ELIGIBILITY,"Yes","No"),"")</f>
        <v/>
      </c>
      <c r="AO42" s="179" t="str">
        <f>IF(TBL_FRF_DATA[[#This Row],[RECORD_STARTED]],"1/1/2019","")</f>
        <v/>
      </c>
      <c r="AP42" s="124"/>
      <c r="AQ42" s="147" t="str">
        <f>IF(TBL_FRF_DATA[[#This Row],[REVENUE_2019_PERIOD_START]]="","",DATE(YEAR(TBL_FRF_DATA[[#This Row],[REVENUE_2019_PERIOD_START]])+1,MONTH(TBL_FRF_DATA[[#This Row],[REVENUE_2019_PERIOD_START]]),DAY(TBL_FRF_DATA[[#This Row],[REVENUE_2019_PERIOD_START]])))</f>
        <v/>
      </c>
      <c r="AR42" s="124"/>
      <c r="AS42" s="130" t="str">
        <f>IF(AND(TBL_FRF_DATA[[#This Row],[REVENUE_2019_AMT]]&lt;&gt;"",TBL_FRF_DATA[[#This Row],[REVENUE_2020_AMT]]&lt;&gt;""),(TBL_FRF_DATA[[#This Row],[REVENUE_2019_AMT]]-TBL_FRF_DATA[[#This Row],[REVENUE_2020_AMT]])/TBL_FRF_DATA[[#This Row],[REVENUE_2019_AMT]],"")</f>
        <v/>
      </c>
      <c r="AT42" s="129" t="str">
        <f>IF(TBL_FRF_DATA[[#This Row],[REVENUE_PCT_CHANGE]]&lt;&gt;"",IF(TBL_FRF_DATA[[#This Row],[REVENUE_PCT_CHANGE]]&gt;=REVENUE_DECLINE_THRESHOLD_ELIGIBILITY,"Yes","No"),"")</f>
        <v/>
      </c>
      <c r="AU42" s="115" t="str">
        <f>IF(TBL_FRF_DATA[[#This Row],[ELIGIBILITY_BASIS]]="","",IF(TBL_FRF_DATA[[#This Row],[ELIGIBILITY_BASIS]]=ELIG_BASIS_ANNUAL_RECEIPTS,IF(TBL_FRF_DATA[[#This Row],[ANNUAL_RECEIPTS]]="","",TBL_FRF_DATA[[#This Row],[ANNUAL_RECEIPTS]]),IF(TBL_FRF_DATA[[#This Row],[NUMBER_EMPLOYEES]]="","",TBL_FRF_DATA[[#This Row],[NUMBER_EMPLOYEES]])))</f>
        <v/>
      </c>
      <c r="AV42" s="106"/>
      <c r="AW42" s="64" t="str">
        <f>IF(OR(TBL_FRF_DATA[[#This Row],[SBA_ELIGIBILITY_BUSACTUAL_VALUE]]="",TBL_FRF_DATA[[#This Row],[SBA_ELIGIBILITY_MAX_VALUE]]=""),"",IF(TBL_FRF_DATA[[#This Row],[SBA_ELIGIBILITY_BUSACTUAL_VALUE]]&lt;=TBL_FRF_DATA[[#This Row],[SBA_ELIGIBILITY_MAX_VALUE]],"Yes","No"))</f>
        <v/>
      </c>
      <c r="AX42" s="65"/>
      <c r="AY42" s="66"/>
      <c r="AZ42" s="67"/>
      <c r="BA42" s="68"/>
      <c r="BB42" s="85"/>
      <c r="BC42" s="69"/>
      <c r="BD42" s="67"/>
      <c r="BE42" s="68"/>
      <c r="BF42" s="70"/>
    </row>
    <row r="43" spans="2:58" s="31" customFormat="1" ht="26.25" customHeight="1" x14ac:dyDescent="0.2">
      <c r="B43"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3"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3"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3" s="29" t="b">
        <f>AND(TBL_FRF_DATA[[#This Row],[RECORD_STARTED]],(COUNTIFS(TBL_FRF_DATA[RECORD_STARTED],FALSE,TBL_FRF_DATA[ROW_ID],"&lt;"&amp;TBL_FRF_DATA[[#This Row],[ROW_ID]])&gt;0))</f>
        <v>0</v>
      </c>
      <c r="F43" s="27" t="str">
        <f>IF(TBL_FRF_DATA[[#This Row],[RECORD_STARTED]],IF(TBL_FRF_DATA[[#This Row],[ERROR_COUNT]]&gt;0,-1,IF(TBL_FRF_DATA[[#This Row],[REQ_FIELDS_POP]],1,0)),"")</f>
        <v/>
      </c>
      <c r="G43" s="35">
        <f>ROW()-ROW(TBL_FRF_DATA[[#Headers],[ROW_ID]])</f>
        <v>22</v>
      </c>
      <c r="H43" s="55">
        <f t="shared" si="1"/>
        <v>0</v>
      </c>
      <c r="I43" s="28" t="str">
        <f t="shared" si="2"/>
        <v>CV19SBRG___0_0__</v>
      </c>
      <c r="J43" s="28" t="str">
        <f t="shared" si="3"/>
        <v/>
      </c>
      <c r="K43" s="28" t="b">
        <f>OR(TBL_FRF_DATA[[#This Row],[ORGANIZATION_TYPE]]=RANGE_ORG_TYPE_NONPROFIT,TBL_FRF_DATA[[#This Row],[TRIBAL_LAND_FLAG]]=RANGE_YESNO_YES)</f>
        <v>0</v>
      </c>
      <c r="L43" s="28" t="b">
        <f>OR(TBL_FRF_DATA[[#This Row],[ADDRESS_STATE]]="PR",TBL_FRF_DATA[[#This Row],[ADDRESS_STATE]]="VI")</f>
        <v>0</v>
      </c>
      <c r="M43" s="120"/>
      <c r="N43" s="120"/>
      <c r="O43" s="118"/>
      <c r="P43" s="118"/>
      <c r="Q43" s="32"/>
      <c r="R43" s="33"/>
      <c r="S43" s="118"/>
      <c r="T43" s="32"/>
      <c r="U43" s="34"/>
      <c r="V43" s="122"/>
      <c r="W43" s="122"/>
      <c r="X43" s="122"/>
      <c r="Y43" s="114"/>
      <c r="Z43" s="122"/>
      <c r="AA43" s="122"/>
      <c r="AB43" s="126"/>
      <c r="AC43" s="112"/>
      <c r="AD43" s="112"/>
      <c r="AE43" s="126"/>
      <c r="AF43" s="92"/>
      <c r="AG43" s="112"/>
      <c r="AH43" s="98"/>
      <c r="AI43" s="109"/>
      <c r="AJ43" s="104"/>
      <c r="AK43" s="101"/>
      <c r="AL43" s="29" t="str">
        <f>IF(OR(TBL_FRF_DATA[[#This Row],[ELIGIBILITY_BASIS]]="",$U43&lt;0),"",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3" s="125"/>
      <c r="AN43" s="29" t="str">
        <f>IF(AND(TBL_FRF_DATA[[#This Row],[ORGANIZATION_TYPE]]=RANGE_ORG_TYPE_NONPROFIT,TBL_FRF_DATA[[#This Row],[NP_ANNUAL_OP_BUDGET]]&lt;&gt;""),IF(TBL_FRF_DATA[[#This Row],[NP_ANNUAL_OP_BUDGET]]&lt;NP_ANNUAL_OPBUDGET_THRESHOLD_ELIGIBILITY,"Yes","No"),"")</f>
        <v/>
      </c>
      <c r="AO43" s="179" t="str">
        <f>IF(TBL_FRF_DATA[[#This Row],[RECORD_STARTED]],"1/1/2019","")</f>
        <v/>
      </c>
      <c r="AP43" s="124"/>
      <c r="AQ43" s="147" t="str">
        <f>IF(TBL_FRF_DATA[[#This Row],[REVENUE_2019_PERIOD_START]]="","",DATE(YEAR(TBL_FRF_DATA[[#This Row],[REVENUE_2019_PERIOD_START]])+1,MONTH(TBL_FRF_DATA[[#This Row],[REVENUE_2019_PERIOD_START]]),DAY(TBL_FRF_DATA[[#This Row],[REVENUE_2019_PERIOD_START]])))</f>
        <v/>
      </c>
      <c r="AR43" s="124"/>
      <c r="AS43" s="130" t="str">
        <f>IF(AND(TBL_FRF_DATA[[#This Row],[REVENUE_2019_AMT]]&lt;&gt;"",TBL_FRF_DATA[[#This Row],[REVENUE_2020_AMT]]&lt;&gt;""),(TBL_FRF_DATA[[#This Row],[REVENUE_2019_AMT]]-TBL_FRF_DATA[[#This Row],[REVENUE_2020_AMT]])/TBL_FRF_DATA[[#This Row],[REVENUE_2019_AMT]],"")</f>
        <v/>
      </c>
      <c r="AT43" s="129" t="str">
        <f>IF(TBL_FRF_DATA[[#This Row],[REVENUE_PCT_CHANGE]]&lt;&gt;"",IF(TBL_FRF_DATA[[#This Row],[REVENUE_PCT_CHANGE]]&gt;=REVENUE_DECLINE_THRESHOLD_ELIGIBILITY,"Yes","No"),"")</f>
        <v/>
      </c>
      <c r="AU43" s="115" t="str">
        <f>IF(TBL_FRF_DATA[[#This Row],[ELIGIBILITY_BASIS]]="","",IF(TBL_FRF_DATA[[#This Row],[ELIGIBILITY_BASIS]]=ELIG_BASIS_ANNUAL_RECEIPTS,IF(TBL_FRF_DATA[[#This Row],[ANNUAL_RECEIPTS]]="","",TBL_FRF_DATA[[#This Row],[ANNUAL_RECEIPTS]]),IF(TBL_FRF_DATA[[#This Row],[NUMBER_EMPLOYEES]]="","",TBL_FRF_DATA[[#This Row],[NUMBER_EMPLOYEES]])))</f>
        <v/>
      </c>
      <c r="AV43" s="106"/>
      <c r="AW43" s="64" t="str">
        <f>IF(OR(TBL_FRF_DATA[[#This Row],[SBA_ELIGIBILITY_BUSACTUAL_VALUE]]="",TBL_FRF_DATA[[#This Row],[SBA_ELIGIBILITY_MAX_VALUE]]=""),"",IF(TBL_FRF_DATA[[#This Row],[SBA_ELIGIBILITY_BUSACTUAL_VALUE]]&lt;=TBL_FRF_DATA[[#This Row],[SBA_ELIGIBILITY_MAX_VALUE]],"Yes","No"))</f>
        <v/>
      </c>
      <c r="AX43" s="65"/>
      <c r="AY43" s="66"/>
      <c r="AZ43" s="67"/>
      <c r="BA43" s="68"/>
      <c r="BB43" s="85"/>
      <c r="BC43" s="69"/>
      <c r="BD43" s="67"/>
      <c r="BE43" s="68"/>
      <c r="BF43" s="70"/>
    </row>
    <row r="44" spans="2:58" s="31" customFormat="1" ht="26.25" customHeight="1" x14ac:dyDescent="0.2">
      <c r="B44"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4"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4"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4" s="29" t="b">
        <f>AND(TBL_FRF_DATA[[#This Row],[RECORD_STARTED]],(COUNTIFS(TBL_FRF_DATA[RECORD_STARTED],FALSE,TBL_FRF_DATA[ROW_ID],"&lt;"&amp;TBL_FRF_DATA[[#This Row],[ROW_ID]])&gt;0))</f>
        <v>0</v>
      </c>
      <c r="F44" s="27" t="str">
        <f>IF(TBL_FRF_DATA[[#This Row],[RECORD_STARTED]],IF(TBL_FRF_DATA[[#This Row],[ERROR_COUNT]]&gt;0,-1,IF(TBL_FRF_DATA[[#This Row],[REQ_FIELDS_POP]],1,0)),"")</f>
        <v/>
      </c>
      <c r="G44" s="35">
        <f>ROW()-ROW(TBL_FRF_DATA[[#Headers],[ROW_ID]])</f>
        <v>23</v>
      </c>
      <c r="H44" s="55">
        <f t="shared" si="1"/>
        <v>0</v>
      </c>
      <c r="I44" s="28" t="str">
        <f t="shared" si="2"/>
        <v>CV19SBRG___0_0__</v>
      </c>
      <c r="J44" s="28" t="str">
        <f t="shared" si="3"/>
        <v/>
      </c>
      <c r="K44" s="28" t="b">
        <f>OR(TBL_FRF_DATA[[#This Row],[ORGANIZATION_TYPE]]=RANGE_ORG_TYPE_NONPROFIT,TBL_FRF_DATA[[#This Row],[TRIBAL_LAND_FLAG]]=RANGE_YESNO_YES)</f>
        <v>0</v>
      </c>
      <c r="L44" s="28" t="b">
        <f>OR(TBL_FRF_DATA[[#This Row],[ADDRESS_STATE]]="PR",TBL_FRF_DATA[[#This Row],[ADDRESS_STATE]]="VI")</f>
        <v>0</v>
      </c>
      <c r="M44" s="120"/>
      <c r="N44" s="120"/>
      <c r="O44" s="118"/>
      <c r="P44" s="118"/>
      <c r="Q44" s="32"/>
      <c r="R44" s="33"/>
      <c r="S44" s="118"/>
      <c r="T44" s="32"/>
      <c r="U44" s="34"/>
      <c r="V44" s="122"/>
      <c r="W44" s="122"/>
      <c r="X44" s="122"/>
      <c r="Y44" s="114"/>
      <c r="Z44" s="122"/>
      <c r="AA44" s="122"/>
      <c r="AB44" s="126"/>
      <c r="AC44" s="112"/>
      <c r="AD44" s="112"/>
      <c r="AE44" s="126"/>
      <c r="AF44" s="92"/>
      <c r="AG44" s="112"/>
      <c r="AH44" s="98"/>
      <c r="AI44" s="109"/>
      <c r="AJ44" s="104"/>
      <c r="AK44" s="101"/>
      <c r="AL44" s="29" t="str">
        <f>IF(OR(TBL_FRF_DATA[[#This Row],[ELIGIBILITY_BASIS]]="",$U44&lt;0),"",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4" s="125"/>
      <c r="AN44" s="29" t="str">
        <f>IF(AND(TBL_FRF_DATA[[#This Row],[ORGANIZATION_TYPE]]=RANGE_ORG_TYPE_NONPROFIT,TBL_FRF_DATA[[#This Row],[NP_ANNUAL_OP_BUDGET]]&lt;&gt;""),IF(TBL_FRF_DATA[[#This Row],[NP_ANNUAL_OP_BUDGET]]&lt;NP_ANNUAL_OPBUDGET_THRESHOLD_ELIGIBILITY,"Yes","No"),"")</f>
        <v/>
      </c>
      <c r="AO44" s="179" t="str">
        <f>IF(TBL_FRF_DATA[[#This Row],[RECORD_STARTED]],"1/1/2019","")</f>
        <v/>
      </c>
      <c r="AP44" s="124"/>
      <c r="AQ44" s="147" t="str">
        <f>IF(TBL_FRF_DATA[[#This Row],[REVENUE_2019_PERIOD_START]]="","",DATE(YEAR(TBL_FRF_DATA[[#This Row],[REVENUE_2019_PERIOD_START]])+1,MONTH(TBL_FRF_DATA[[#This Row],[REVENUE_2019_PERIOD_START]]),DAY(TBL_FRF_DATA[[#This Row],[REVENUE_2019_PERIOD_START]])))</f>
        <v/>
      </c>
      <c r="AR44" s="124"/>
      <c r="AS44" s="130" t="str">
        <f>IF(AND(TBL_FRF_DATA[[#This Row],[REVENUE_2019_AMT]]&lt;&gt;"",TBL_FRF_DATA[[#This Row],[REVENUE_2020_AMT]]&lt;&gt;""),(TBL_FRF_DATA[[#This Row],[REVENUE_2019_AMT]]-TBL_FRF_DATA[[#This Row],[REVENUE_2020_AMT]])/TBL_FRF_DATA[[#This Row],[REVENUE_2019_AMT]],"")</f>
        <v/>
      </c>
      <c r="AT44" s="129" t="str">
        <f>IF(TBL_FRF_DATA[[#This Row],[REVENUE_PCT_CHANGE]]&lt;&gt;"",IF(TBL_FRF_DATA[[#This Row],[REVENUE_PCT_CHANGE]]&gt;=REVENUE_DECLINE_THRESHOLD_ELIGIBILITY,"Yes","No"),"")</f>
        <v/>
      </c>
      <c r="AU44" s="115" t="str">
        <f>IF(TBL_FRF_DATA[[#This Row],[ELIGIBILITY_BASIS]]="","",IF(TBL_FRF_DATA[[#This Row],[ELIGIBILITY_BASIS]]=ELIG_BASIS_ANNUAL_RECEIPTS,IF(TBL_FRF_DATA[[#This Row],[ANNUAL_RECEIPTS]]="","",TBL_FRF_DATA[[#This Row],[ANNUAL_RECEIPTS]]),IF(TBL_FRF_DATA[[#This Row],[NUMBER_EMPLOYEES]]="","",TBL_FRF_DATA[[#This Row],[NUMBER_EMPLOYEES]])))</f>
        <v/>
      </c>
      <c r="AV44" s="106"/>
      <c r="AW44" s="64" t="str">
        <f>IF(OR(TBL_FRF_DATA[[#This Row],[SBA_ELIGIBILITY_BUSACTUAL_VALUE]]="",TBL_FRF_DATA[[#This Row],[SBA_ELIGIBILITY_MAX_VALUE]]=""),"",IF(TBL_FRF_DATA[[#This Row],[SBA_ELIGIBILITY_BUSACTUAL_VALUE]]&lt;=TBL_FRF_DATA[[#This Row],[SBA_ELIGIBILITY_MAX_VALUE]],"Yes","No"))</f>
        <v/>
      </c>
      <c r="AX44" s="65"/>
      <c r="AY44" s="66"/>
      <c r="AZ44" s="67"/>
      <c r="BA44" s="68"/>
      <c r="BB44" s="85"/>
      <c r="BC44" s="69"/>
      <c r="BD44" s="67"/>
      <c r="BE44" s="68"/>
      <c r="BF44" s="70"/>
    </row>
    <row r="45" spans="2:58" s="31" customFormat="1" ht="26.25" customHeight="1" x14ac:dyDescent="0.2">
      <c r="B45"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5"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5"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5" s="29" t="b">
        <f>AND(TBL_FRF_DATA[[#This Row],[RECORD_STARTED]],(COUNTIFS(TBL_FRF_DATA[RECORD_STARTED],FALSE,TBL_FRF_DATA[ROW_ID],"&lt;"&amp;TBL_FRF_DATA[[#This Row],[ROW_ID]])&gt;0))</f>
        <v>0</v>
      </c>
      <c r="F45" s="27" t="str">
        <f>IF(TBL_FRF_DATA[[#This Row],[RECORD_STARTED]],IF(TBL_FRF_DATA[[#This Row],[ERROR_COUNT]]&gt;0,-1,IF(TBL_FRF_DATA[[#This Row],[REQ_FIELDS_POP]],1,0)),"")</f>
        <v/>
      </c>
      <c r="G45" s="35">
        <f>ROW()-ROW(TBL_FRF_DATA[[#Headers],[ROW_ID]])</f>
        <v>24</v>
      </c>
      <c r="H45" s="55">
        <f t="shared" si="1"/>
        <v>0</v>
      </c>
      <c r="I45" s="28" t="str">
        <f t="shared" si="2"/>
        <v>CV19SBRG___0_0__</v>
      </c>
      <c r="J45" s="28" t="str">
        <f t="shared" si="3"/>
        <v/>
      </c>
      <c r="K45" s="28" t="b">
        <f>OR(TBL_FRF_DATA[[#This Row],[ORGANIZATION_TYPE]]=RANGE_ORG_TYPE_NONPROFIT,TBL_FRF_DATA[[#This Row],[TRIBAL_LAND_FLAG]]=RANGE_YESNO_YES)</f>
        <v>0</v>
      </c>
      <c r="L45" s="28" t="b">
        <f>OR(TBL_FRF_DATA[[#This Row],[ADDRESS_STATE]]="PR",TBL_FRF_DATA[[#This Row],[ADDRESS_STATE]]="VI")</f>
        <v>0</v>
      </c>
      <c r="M45" s="120"/>
      <c r="N45" s="120"/>
      <c r="O45" s="118"/>
      <c r="P45" s="118"/>
      <c r="Q45" s="32"/>
      <c r="R45" s="33"/>
      <c r="S45" s="118"/>
      <c r="T45" s="32"/>
      <c r="U45" s="34"/>
      <c r="V45" s="122"/>
      <c r="W45" s="122"/>
      <c r="X45" s="122"/>
      <c r="Y45" s="114"/>
      <c r="Z45" s="122"/>
      <c r="AA45" s="122"/>
      <c r="AB45" s="126"/>
      <c r="AC45" s="112"/>
      <c r="AD45" s="112"/>
      <c r="AE45" s="126"/>
      <c r="AF45" s="92"/>
      <c r="AG45" s="112"/>
      <c r="AH45" s="98"/>
      <c r="AI45" s="109"/>
      <c r="AJ45" s="104"/>
      <c r="AK45" s="101"/>
      <c r="AL45" s="29" t="str">
        <f>IF(OR(TBL_FRF_DATA[[#This Row],[ELIGIBILITY_BASIS]]="",$U45&lt;0),"",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5" s="125"/>
      <c r="AN45" s="29" t="str">
        <f>IF(AND(TBL_FRF_DATA[[#This Row],[ORGANIZATION_TYPE]]=RANGE_ORG_TYPE_NONPROFIT,TBL_FRF_DATA[[#This Row],[NP_ANNUAL_OP_BUDGET]]&lt;&gt;""),IF(TBL_FRF_DATA[[#This Row],[NP_ANNUAL_OP_BUDGET]]&lt;NP_ANNUAL_OPBUDGET_THRESHOLD_ELIGIBILITY,"Yes","No"),"")</f>
        <v/>
      </c>
      <c r="AO45" s="179" t="str">
        <f>IF(TBL_FRF_DATA[[#This Row],[RECORD_STARTED]],"1/1/2019","")</f>
        <v/>
      </c>
      <c r="AP45" s="124"/>
      <c r="AQ45" s="147" t="str">
        <f>IF(TBL_FRF_DATA[[#This Row],[REVENUE_2019_PERIOD_START]]="","",DATE(YEAR(TBL_FRF_DATA[[#This Row],[REVENUE_2019_PERIOD_START]])+1,MONTH(TBL_FRF_DATA[[#This Row],[REVENUE_2019_PERIOD_START]]),DAY(TBL_FRF_DATA[[#This Row],[REVENUE_2019_PERIOD_START]])))</f>
        <v/>
      </c>
      <c r="AR45" s="124"/>
      <c r="AS45" s="130" t="str">
        <f>IF(AND(TBL_FRF_DATA[[#This Row],[REVENUE_2019_AMT]]&lt;&gt;"",TBL_FRF_DATA[[#This Row],[REVENUE_2020_AMT]]&lt;&gt;""),(TBL_FRF_DATA[[#This Row],[REVENUE_2019_AMT]]-TBL_FRF_DATA[[#This Row],[REVENUE_2020_AMT]])/TBL_FRF_DATA[[#This Row],[REVENUE_2019_AMT]],"")</f>
        <v/>
      </c>
      <c r="AT45" s="129" t="str">
        <f>IF(TBL_FRF_DATA[[#This Row],[REVENUE_PCT_CHANGE]]&lt;&gt;"",IF(TBL_FRF_DATA[[#This Row],[REVENUE_PCT_CHANGE]]&gt;=REVENUE_DECLINE_THRESHOLD_ELIGIBILITY,"Yes","No"),"")</f>
        <v/>
      </c>
      <c r="AU45" s="115" t="str">
        <f>IF(TBL_FRF_DATA[[#This Row],[ELIGIBILITY_BASIS]]="","",IF(TBL_FRF_DATA[[#This Row],[ELIGIBILITY_BASIS]]=ELIG_BASIS_ANNUAL_RECEIPTS,IF(TBL_FRF_DATA[[#This Row],[ANNUAL_RECEIPTS]]="","",TBL_FRF_DATA[[#This Row],[ANNUAL_RECEIPTS]]),IF(TBL_FRF_DATA[[#This Row],[NUMBER_EMPLOYEES]]="","",TBL_FRF_DATA[[#This Row],[NUMBER_EMPLOYEES]])))</f>
        <v/>
      </c>
      <c r="AV45" s="106"/>
      <c r="AW45" s="64" t="str">
        <f>IF(OR(TBL_FRF_DATA[[#This Row],[SBA_ELIGIBILITY_BUSACTUAL_VALUE]]="",TBL_FRF_DATA[[#This Row],[SBA_ELIGIBILITY_MAX_VALUE]]=""),"",IF(TBL_FRF_DATA[[#This Row],[SBA_ELIGIBILITY_BUSACTUAL_VALUE]]&lt;=TBL_FRF_DATA[[#This Row],[SBA_ELIGIBILITY_MAX_VALUE]],"Yes","No"))</f>
        <v/>
      </c>
      <c r="AX45" s="65"/>
      <c r="AY45" s="66"/>
      <c r="AZ45" s="67"/>
      <c r="BA45" s="68"/>
      <c r="BB45" s="85"/>
      <c r="BC45" s="69"/>
      <c r="BD45" s="67"/>
      <c r="BE45" s="68"/>
      <c r="BF45" s="70"/>
    </row>
    <row r="46" spans="2:58" s="31" customFormat="1" ht="26.25" customHeight="1" x14ac:dyDescent="0.2">
      <c r="B46"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6"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6"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6" s="29" t="b">
        <f>AND(TBL_FRF_DATA[[#This Row],[RECORD_STARTED]],(COUNTIFS(TBL_FRF_DATA[RECORD_STARTED],FALSE,TBL_FRF_DATA[ROW_ID],"&lt;"&amp;TBL_FRF_DATA[[#This Row],[ROW_ID]])&gt;0))</f>
        <v>0</v>
      </c>
      <c r="F46" s="27" t="str">
        <f>IF(TBL_FRF_DATA[[#This Row],[RECORD_STARTED]],IF(TBL_FRF_DATA[[#This Row],[ERROR_COUNT]]&gt;0,-1,IF(TBL_FRF_DATA[[#This Row],[REQ_FIELDS_POP]],1,0)),"")</f>
        <v/>
      </c>
      <c r="G46" s="35">
        <f>ROW()-ROW(TBL_FRF_DATA[[#Headers],[ROW_ID]])</f>
        <v>25</v>
      </c>
      <c r="H46" s="55">
        <f t="shared" ref="H46:H70" si="4">APPLICATION_DATE</f>
        <v>0</v>
      </c>
      <c r="I46" s="28" t="str">
        <f t="shared" ref="I46:I70" si="5">FRF_ID</f>
        <v>CV19SBRG___0_0__</v>
      </c>
      <c r="J46" s="28" t="str">
        <f t="shared" ref="J46:J70" si="6">FRF_ID_MEMBER_ID</f>
        <v/>
      </c>
      <c r="K46" s="28" t="b">
        <f>OR(TBL_FRF_DATA[[#This Row],[ORGANIZATION_TYPE]]=RANGE_ORG_TYPE_NONPROFIT,TBL_FRF_DATA[[#This Row],[TRIBAL_LAND_FLAG]]=RANGE_YESNO_YES)</f>
        <v>0</v>
      </c>
      <c r="L46" s="28" t="b">
        <f>OR(TBL_FRF_DATA[[#This Row],[ADDRESS_STATE]]="PR",TBL_FRF_DATA[[#This Row],[ADDRESS_STATE]]="VI")</f>
        <v>0</v>
      </c>
      <c r="M46" s="120"/>
      <c r="N46" s="120"/>
      <c r="O46" s="118"/>
      <c r="P46" s="118"/>
      <c r="Q46" s="32"/>
      <c r="R46" s="33"/>
      <c r="S46" s="118"/>
      <c r="T46" s="32"/>
      <c r="U46" s="34"/>
      <c r="V46" s="122"/>
      <c r="W46" s="122"/>
      <c r="X46" s="122"/>
      <c r="Y46" s="114"/>
      <c r="Z46" s="122"/>
      <c r="AA46" s="122"/>
      <c r="AB46" s="126"/>
      <c r="AC46" s="112"/>
      <c r="AD46" s="112"/>
      <c r="AE46" s="126"/>
      <c r="AF46" s="92"/>
      <c r="AG46" s="112"/>
      <c r="AH46" s="98"/>
      <c r="AI46" s="109"/>
      <c r="AJ46" s="104"/>
      <c r="AK46" s="101"/>
      <c r="AL46" s="29" t="str">
        <f>IF(OR(TBL_FRF_DATA[[#This Row],[ELIGIBILITY_BASIS]]="",$U46&lt;0),"",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6" s="125"/>
      <c r="AN46" s="29" t="str">
        <f>IF(AND(TBL_FRF_DATA[[#This Row],[ORGANIZATION_TYPE]]=RANGE_ORG_TYPE_NONPROFIT,TBL_FRF_DATA[[#This Row],[NP_ANNUAL_OP_BUDGET]]&lt;&gt;""),IF(TBL_FRF_DATA[[#This Row],[NP_ANNUAL_OP_BUDGET]]&lt;NP_ANNUAL_OPBUDGET_THRESHOLD_ELIGIBILITY,"Yes","No"),"")</f>
        <v/>
      </c>
      <c r="AO46" s="179" t="str">
        <f>IF(TBL_FRF_DATA[[#This Row],[RECORD_STARTED]],"1/1/2019","")</f>
        <v/>
      </c>
      <c r="AP46" s="124"/>
      <c r="AQ46" s="147" t="str">
        <f>IF(TBL_FRF_DATA[[#This Row],[REVENUE_2019_PERIOD_START]]="","",DATE(YEAR(TBL_FRF_DATA[[#This Row],[REVENUE_2019_PERIOD_START]])+1,MONTH(TBL_FRF_DATA[[#This Row],[REVENUE_2019_PERIOD_START]]),DAY(TBL_FRF_DATA[[#This Row],[REVENUE_2019_PERIOD_START]])))</f>
        <v/>
      </c>
      <c r="AR46" s="124"/>
      <c r="AS46" s="130" t="str">
        <f>IF(AND(TBL_FRF_DATA[[#This Row],[REVENUE_2019_AMT]]&lt;&gt;"",TBL_FRF_DATA[[#This Row],[REVENUE_2020_AMT]]&lt;&gt;""),(TBL_FRF_DATA[[#This Row],[REVENUE_2019_AMT]]-TBL_FRF_DATA[[#This Row],[REVENUE_2020_AMT]])/TBL_FRF_DATA[[#This Row],[REVENUE_2019_AMT]],"")</f>
        <v/>
      </c>
      <c r="AT46" s="129" t="str">
        <f>IF(TBL_FRF_DATA[[#This Row],[REVENUE_PCT_CHANGE]]&lt;&gt;"",IF(TBL_FRF_DATA[[#This Row],[REVENUE_PCT_CHANGE]]&gt;=REVENUE_DECLINE_THRESHOLD_ELIGIBILITY,"Yes","No"),"")</f>
        <v/>
      </c>
      <c r="AU46" s="115" t="str">
        <f>IF(TBL_FRF_DATA[[#This Row],[ELIGIBILITY_BASIS]]="","",IF(TBL_FRF_DATA[[#This Row],[ELIGIBILITY_BASIS]]=ELIG_BASIS_ANNUAL_RECEIPTS,IF(TBL_FRF_DATA[[#This Row],[ANNUAL_RECEIPTS]]="","",TBL_FRF_DATA[[#This Row],[ANNUAL_RECEIPTS]]),IF(TBL_FRF_DATA[[#This Row],[NUMBER_EMPLOYEES]]="","",TBL_FRF_DATA[[#This Row],[NUMBER_EMPLOYEES]])))</f>
        <v/>
      </c>
      <c r="AV46" s="106"/>
      <c r="AW46" s="64" t="str">
        <f>IF(OR(TBL_FRF_DATA[[#This Row],[SBA_ELIGIBILITY_BUSACTUAL_VALUE]]="",TBL_FRF_DATA[[#This Row],[SBA_ELIGIBILITY_MAX_VALUE]]=""),"",IF(TBL_FRF_DATA[[#This Row],[SBA_ELIGIBILITY_BUSACTUAL_VALUE]]&lt;=TBL_FRF_DATA[[#This Row],[SBA_ELIGIBILITY_MAX_VALUE]],"Yes","No"))</f>
        <v/>
      </c>
      <c r="AX46" s="65"/>
      <c r="AY46" s="66"/>
      <c r="AZ46" s="67"/>
      <c r="BA46" s="68"/>
      <c r="BB46" s="85"/>
      <c r="BC46" s="69"/>
      <c r="BD46" s="67"/>
      <c r="BE46" s="68"/>
      <c r="BF46" s="70"/>
    </row>
    <row r="47" spans="2:58" s="31" customFormat="1" ht="26.25" customHeight="1" x14ac:dyDescent="0.2">
      <c r="B47"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7"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7"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7" s="29" t="b">
        <f>AND(TBL_FRF_DATA[[#This Row],[RECORD_STARTED]],(COUNTIFS(TBL_FRF_DATA[RECORD_STARTED],FALSE,TBL_FRF_DATA[ROW_ID],"&lt;"&amp;TBL_FRF_DATA[[#This Row],[ROW_ID]])&gt;0))</f>
        <v>0</v>
      </c>
      <c r="F47" s="27" t="str">
        <f>IF(TBL_FRF_DATA[[#This Row],[RECORD_STARTED]],IF(TBL_FRF_DATA[[#This Row],[ERROR_COUNT]]&gt;0,-1,IF(TBL_FRF_DATA[[#This Row],[REQ_FIELDS_POP]],1,0)),"")</f>
        <v/>
      </c>
      <c r="G47" s="35">
        <f>ROW()-ROW(TBL_FRF_DATA[[#Headers],[ROW_ID]])</f>
        <v>26</v>
      </c>
      <c r="H47" s="55">
        <f t="shared" si="4"/>
        <v>0</v>
      </c>
      <c r="I47" s="28" t="str">
        <f t="shared" si="5"/>
        <v>CV19SBRG___0_0__</v>
      </c>
      <c r="J47" s="28" t="str">
        <f t="shared" si="6"/>
        <v/>
      </c>
      <c r="K47" s="28" t="b">
        <f>OR(TBL_FRF_DATA[[#This Row],[ORGANIZATION_TYPE]]=RANGE_ORG_TYPE_NONPROFIT,TBL_FRF_DATA[[#This Row],[TRIBAL_LAND_FLAG]]=RANGE_YESNO_YES)</f>
        <v>0</v>
      </c>
      <c r="L47" s="28" t="b">
        <f>OR(TBL_FRF_DATA[[#This Row],[ADDRESS_STATE]]="PR",TBL_FRF_DATA[[#This Row],[ADDRESS_STATE]]="VI")</f>
        <v>0</v>
      </c>
      <c r="M47" s="120"/>
      <c r="N47" s="120"/>
      <c r="O47" s="118"/>
      <c r="P47" s="118"/>
      <c r="Q47" s="32"/>
      <c r="R47" s="33"/>
      <c r="S47" s="118"/>
      <c r="T47" s="32"/>
      <c r="U47" s="34"/>
      <c r="V47" s="122"/>
      <c r="W47" s="122"/>
      <c r="X47" s="122"/>
      <c r="Y47" s="114"/>
      <c r="Z47" s="122"/>
      <c r="AA47" s="122"/>
      <c r="AB47" s="126"/>
      <c r="AC47" s="112"/>
      <c r="AD47" s="112"/>
      <c r="AE47" s="126"/>
      <c r="AF47" s="92"/>
      <c r="AG47" s="112"/>
      <c r="AH47" s="98"/>
      <c r="AI47" s="109"/>
      <c r="AJ47" s="104"/>
      <c r="AK47" s="101"/>
      <c r="AL47" s="29" t="str">
        <f>IF(OR(TBL_FRF_DATA[[#This Row],[ELIGIBILITY_BASIS]]="",$U47&lt;0),"",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7" s="125"/>
      <c r="AN47" s="29" t="str">
        <f>IF(AND(TBL_FRF_DATA[[#This Row],[ORGANIZATION_TYPE]]=RANGE_ORG_TYPE_NONPROFIT,TBL_FRF_DATA[[#This Row],[NP_ANNUAL_OP_BUDGET]]&lt;&gt;""),IF(TBL_FRF_DATA[[#This Row],[NP_ANNUAL_OP_BUDGET]]&lt;NP_ANNUAL_OPBUDGET_THRESHOLD_ELIGIBILITY,"Yes","No"),"")</f>
        <v/>
      </c>
      <c r="AO47" s="179" t="str">
        <f>IF(TBL_FRF_DATA[[#This Row],[RECORD_STARTED]],"1/1/2019","")</f>
        <v/>
      </c>
      <c r="AP47" s="124"/>
      <c r="AQ47" s="147" t="str">
        <f>IF(TBL_FRF_DATA[[#This Row],[REVENUE_2019_PERIOD_START]]="","",DATE(YEAR(TBL_FRF_DATA[[#This Row],[REVENUE_2019_PERIOD_START]])+1,MONTH(TBL_FRF_DATA[[#This Row],[REVENUE_2019_PERIOD_START]]),DAY(TBL_FRF_DATA[[#This Row],[REVENUE_2019_PERIOD_START]])))</f>
        <v/>
      </c>
      <c r="AR47" s="124"/>
      <c r="AS47" s="130" t="str">
        <f>IF(AND(TBL_FRF_DATA[[#This Row],[REVENUE_2019_AMT]]&lt;&gt;"",TBL_FRF_DATA[[#This Row],[REVENUE_2020_AMT]]&lt;&gt;""),(TBL_FRF_DATA[[#This Row],[REVENUE_2019_AMT]]-TBL_FRF_DATA[[#This Row],[REVENUE_2020_AMT]])/TBL_FRF_DATA[[#This Row],[REVENUE_2019_AMT]],"")</f>
        <v/>
      </c>
      <c r="AT47" s="129" t="str">
        <f>IF(TBL_FRF_DATA[[#This Row],[REVENUE_PCT_CHANGE]]&lt;&gt;"",IF(TBL_FRF_DATA[[#This Row],[REVENUE_PCT_CHANGE]]&gt;=REVENUE_DECLINE_THRESHOLD_ELIGIBILITY,"Yes","No"),"")</f>
        <v/>
      </c>
      <c r="AU47" s="115" t="str">
        <f>IF(TBL_FRF_DATA[[#This Row],[ELIGIBILITY_BASIS]]="","",IF(TBL_FRF_DATA[[#This Row],[ELIGIBILITY_BASIS]]=ELIG_BASIS_ANNUAL_RECEIPTS,IF(TBL_FRF_DATA[[#This Row],[ANNUAL_RECEIPTS]]="","",TBL_FRF_DATA[[#This Row],[ANNUAL_RECEIPTS]]),IF(TBL_FRF_DATA[[#This Row],[NUMBER_EMPLOYEES]]="","",TBL_FRF_DATA[[#This Row],[NUMBER_EMPLOYEES]])))</f>
        <v/>
      </c>
      <c r="AV47" s="106"/>
      <c r="AW47" s="64" t="str">
        <f>IF(OR(TBL_FRF_DATA[[#This Row],[SBA_ELIGIBILITY_BUSACTUAL_VALUE]]="",TBL_FRF_DATA[[#This Row],[SBA_ELIGIBILITY_MAX_VALUE]]=""),"",IF(TBL_FRF_DATA[[#This Row],[SBA_ELIGIBILITY_BUSACTUAL_VALUE]]&lt;=TBL_FRF_DATA[[#This Row],[SBA_ELIGIBILITY_MAX_VALUE]],"Yes","No"))</f>
        <v/>
      </c>
      <c r="AX47" s="65"/>
      <c r="AY47" s="66"/>
      <c r="AZ47" s="67"/>
      <c r="BA47" s="68"/>
      <c r="BB47" s="85"/>
      <c r="BC47" s="69"/>
      <c r="BD47" s="67"/>
      <c r="BE47" s="68"/>
      <c r="BF47" s="70"/>
    </row>
    <row r="48" spans="2:58" s="31" customFormat="1" ht="26.25" customHeight="1" x14ac:dyDescent="0.2">
      <c r="B48"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8"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8"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8" s="29" t="b">
        <f>AND(TBL_FRF_DATA[[#This Row],[RECORD_STARTED]],(COUNTIFS(TBL_FRF_DATA[RECORD_STARTED],FALSE,TBL_FRF_DATA[ROW_ID],"&lt;"&amp;TBL_FRF_DATA[[#This Row],[ROW_ID]])&gt;0))</f>
        <v>0</v>
      </c>
      <c r="F48" s="27" t="str">
        <f>IF(TBL_FRF_DATA[[#This Row],[RECORD_STARTED]],IF(TBL_FRF_DATA[[#This Row],[ERROR_COUNT]]&gt;0,-1,IF(TBL_FRF_DATA[[#This Row],[REQ_FIELDS_POP]],1,0)),"")</f>
        <v/>
      </c>
      <c r="G48" s="35">
        <f>ROW()-ROW(TBL_FRF_DATA[[#Headers],[ROW_ID]])</f>
        <v>27</v>
      </c>
      <c r="H48" s="55">
        <f t="shared" si="4"/>
        <v>0</v>
      </c>
      <c r="I48" s="28" t="str">
        <f t="shared" si="5"/>
        <v>CV19SBRG___0_0__</v>
      </c>
      <c r="J48" s="28" t="str">
        <f t="shared" si="6"/>
        <v/>
      </c>
      <c r="K48" s="28" t="b">
        <f>OR(TBL_FRF_DATA[[#This Row],[ORGANIZATION_TYPE]]=RANGE_ORG_TYPE_NONPROFIT,TBL_FRF_DATA[[#This Row],[TRIBAL_LAND_FLAG]]=RANGE_YESNO_YES)</f>
        <v>0</v>
      </c>
      <c r="L48" s="28" t="b">
        <f>OR(TBL_FRF_DATA[[#This Row],[ADDRESS_STATE]]="PR",TBL_FRF_DATA[[#This Row],[ADDRESS_STATE]]="VI")</f>
        <v>0</v>
      </c>
      <c r="M48" s="120"/>
      <c r="N48" s="120"/>
      <c r="O48" s="118"/>
      <c r="P48" s="118"/>
      <c r="Q48" s="32"/>
      <c r="R48" s="33"/>
      <c r="S48" s="118"/>
      <c r="T48" s="32"/>
      <c r="U48" s="34"/>
      <c r="V48" s="122"/>
      <c r="W48" s="122"/>
      <c r="X48" s="122"/>
      <c r="Y48" s="114"/>
      <c r="Z48" s="122"/>
      <c r="AA48" s="122"/>
      <c r="AB48" s="126"/>
      <c r="AC48" s="112"/>
      <c r="AD48" s="112"/>
      <c r="AE48" s="126"/>
      <c r="AF48" s="92"/>
      <c r="AG48" s="112"/>
      <c r="AH48" s="98"/>
      <c r="AI48" s="109"/>
      <c r="AJ48" s="104"/>
      <c r="AK48" s="101"/>
      <c r="AL48" s="29" t="str">
        <f>IF(OR(TBL_FRF_DATA[[#This Row],[ELIGIBILITY_BASIS]]="",$U48&lt;0),"",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8" s="125"/>
      <c r="AN48" s="29" t="str">
        <f>IF(AND(TBL_FRF_DATA[[#This Row],[ORGANIZATION_TYPE]]=RANGE_ORG_TYPE_NONPROFIT,TBL_FRF_DATA[[#This Row],[NP_ANNUAL_OP_BUDGET]]&lt;&gt;""),IF(TBL_FRF_DATA[[#This Row],[NP_ANNUAL_OP_BUDGET]]&lt;NP_ANNUAL_OPBUDGET_THRESHOLD_ELIGIBILITY,"Yes","No"),"")</f>
        <v/>
      </c>
      <c r="AO48" s="179" t="str">
        <f>IF(TBL_FRF_DATA[[#This Row],[RECORD_STARTED]],"1/1/2019","")</f>
        <v/>
      </c>
      <c r="AP48" s="124"/>
      <c r="AQ48" s="147" t="str">
        <f>IF(TBL_FRF_DATA[[#This Row],[REVENUE_2019_PERIOD_START]]="","",DATE(YEAR(TBL_FRF_DATA[[#This Row],[REVENUE_2019_PERIOD_START]])+1,MONTH(TBL_FRF_DATA[[#This Row],[REVENUE_2019_PERIOD_START]]),DAY(TBL_FRF_DATA[[#This Row],[REVENUE_2019_PERIOD_START]])))</f>
        <v/>
      </c>
      <c r="AR48" s="124"/>
      <c r="AS48" s="130" t="str">
        <f>IF(AND(TBL_FRF_DATA[[#This Row],[REVENUE_2019_AMT]]&lt;&gt;"",TBL_FRF_DATA[[#This Row],[REVENUE_2020_AMT]]&lt;&gt;""),(TBL_FRF_DATA[[#This Row],[REVENUE_2019_AMT]]-TBL_FRF_DATA[[#This Row],[REVENUE_2020_AMT]])/TBL_FRF_DATA[[#This Row],[REVENUE_2019_AMT]],"")</f>
        <v/>
      </c>
      <c r="AT48" s="129" t="str">
        <f>IF(TBL_FRF_DATA[[#This Row],[REVENUE_PCT_CHANGE]]&lt;&gt;"",IF(TBL_FRF_DATA[[#This Row],[REVENUE_PCT_CHANGE]]&gt;=REVENUE_DECLINE_THRESHOLD_ELIGIBILITY,"Yes","No"),"")</f>
        <v/>
      </c>
      <c r="AU48" s="115" t="str">
        <f>IF(TBL_FRF_DATA[[#This Row],[ELIGIBILITY_BASIS]]="","",IF(TBL_FRF_DATA[[#This Row],[ELIGIBILITY_BASIS]]=ELIG_BASIS_ANNUAL_RECEIPTS,IF(TBL_FRF_DATA[[#This Row],[ANNUAL_RECEIPTS]]="","",TBL_FRF_DATA[[#This Row],[ANNUAL_RECEIPTS]]),IF(TBL_FRF_DATA[[#This Row],[NUMBER_EMPLOYEES]]="","",TBL_FRF_DATA[[#This Row],[NUMBER_EMPLOYEES]])))</f>
        <v/>
      </c>
      <c r="AV48" s="106"/>
      <c r="AW48" s="64" t="str">
        <f>IF(OR(TBL_FRF_DATA[[#This Row],[SBA_ELIGIBILITY_BUSACTUAL_VALUE]]="",TBL_FRF_DATA[[#This Row],[SBA_ELIGIBILITY_MAX_VALUE]]=""),"",IF(TBL_FRF_DATA[[#This Row],[SBA_ELIGIBILITY_BUSACTUAL_VALUE]]&lt;=TBL_FRF_DATA[[#This Row],[SBA_ELIGIBILITY_MAX_VALUE]],"Yes","No"))</f>
        <v/>
      </c>
      <c r="AX48" s="65"/>
      <c r="AY48" s="66"/>
      <c r="AZ48" s="67"/>
      <c r="BA48" s="68"/>
      <c r="BB48" s="85"/>
      <c r="BC48" s="69"/>
      <c r="BD48" s="67"/>
      <c r="BE48" s="68"/>
      <c r="BF48" s="70"/>
    </row>
    <row r="49" spans="2:58" s="31" customFormat="1" ht="26.25" customHeight="1" x14ac:dyDescent="0.2">
      <c r="B49"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49"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49"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49" s="29" t="b">
        <f>AND(TBL_FRF_DATA[[#This Row],[RECORD_STARTED]],(COUNTIFS(TBL_FRF_DATA[RECORD_STARTED],FALSE,TBL_FRF_DATA[ROW_ID],"&lt;"&amp;TBL_FRF_DATA[[#This Row],[ROW_ID]])&gt;0))</f>
        <v>0</v>
      </c>
      <c r="F49" s="27" t="str">
        <f>IF(TBL_FRF_DATA[[#This Row],[RECORD_STARTED]],IF(TBL_FRF_DATA[[#This Row],[ERROR_COUNT]]&gt;0,-1,IF(TBL_FRF_DATA[[#This Row],[REQ_FIELDS_POP]],1,0)),"")</f>
        <v/>
      </c>
      <c r="G49" s="35">
        <f>ROW()-ROW(TBL_FRF_DATA[[#Headers],[ROW_ID]])</f>
        <v>28</v>
      </c>
      <c r="H49" s="55">
        <f t="shared" si="4"/>
        <v>0</v>
      </c>
      <c r="I49" s="28" t="str">
        <f t="shared" si="5"/>
        <v>CV19SBRG___0_0__</v>
      </c>
      <c r="J49" s="28" t="str">
        <f t="shared" si="6"/>
        <v/>
      </c>
      <c r="K49" s="28" t="b">
        <f>OR(TBL_FRF_DATA[[#This Row],[ORGANIZATION_TYPE]]=RANGE_ORG_TYPE_NONPROFIT,TBL_FRF_DATA[[#This Row],[TRIBAL_LAND_FLAG]]=RANGE_YESNO_YES)</f>
        <v>0</v>
      </c>
      <c r="L49" s="28" t="b">
        <f>OR(TBL_FRF_DATA[[#This Row],[ADDRESS_STATE]]="PR",TBL_FRF_DATA[[#This Row],[ADDRESS_STATE]]="VI")</f>
        <v>0</v>
      </c>
      <c r="M49" s="120"/>
      <c r="N49" s="120"/>
      <c r="O49" s="118"/>
      <c r="P49" s="118"/>
      <c r="Q49" s="32"/>
      <c r="R49" s="33"/>
      <c r="S49" s="118"/>
      <c r="T49" s="32"/>
      <c r="U49" s="34"/>
      <c r="V49" s="122"/>
      <c r="W49" s="122"/>
      <c r="X49" s="122"/>
      <c r="Y49" s="114"/>
      <c r="Z49" s="122"/>
      <c r="AA49" s="122"/>
      <c r="AB49" s="126"/>
      <c r="AC49" s="112"/>
      <c r="AD49" s="112"/>
      <c r="AE49" s="126"/>
      <c r="AF49" s="92"/>
      <c r="AG49" s="112"/>
      <c r="AH49" s="98"/>
      <c r="AI49" s="109"/>
      <c r="AJ49" s="104"/>
      <c r="AK49" s="101"/>
      <c r="AL49" s="29" t="str">
        <f>IF(OR(TBL_FRF_DATA[[#This Row],[ELIGIBILITY_BASIS]]="",$U49&lt;0),"",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49" s="125"/>
      <c r="AN49" s="29" t="str">
        <f>IF(AND(TBL_FRF_DATA[[#This Row],[ORGANIZATION_TYPE]]=RANGE_ORG_TYPE_NONPROFIT,TBL_FRF_DATA[[#This Row],[NP_ANNUAL_OP_BUDGET]]&lt;&gt;""),IF(TBL_FRF_DATA[[#This Row],[NP_ANNUAL_OP_BUDGET]]&lt;NP_ANNUAL_OPBUDGET_THRESHOLD_ELIGIBILITY,"Yes","No"),"")</f>
        <v/>
      </c>
      <c r="AO49" s="179" t="str">
        <f>IF(TBL_FRF_DATA[[#This Row],[RECORD_STARTED]],"1/1/2019","")</f>
        <v/>
      </c>
      <c r="AP49" s="124"/>
      <c r="AQ49" s="147" t="str">
        <f>IF(TBL_FRF_DATA[[#This Row],[REVENUE_2019_PERIOD_START]]="","",DATE(YEAR(TBL_FRF_DATA[[#This Row],[REVENUE_2019_PERIOD_START]])+1,MONTH(TBL_FRF_DATA[[#This Row],[REVENUE_2019_PERIOD_START]]),DAY(TBL_FRF_DATA[[#This Row],[REVENUE_2019_PERIOD_START]])))</f>
        <v/>
      </c>
      <c r="AR49" s="124"/>
      <c r="AS49" s="130" t="str">
        <f>IF(AND(TBL_FRF_DATA[[#This Row],[REVENUE_2019_AMT]]&lt;&gt;"",TBL_FRF_DATA[[#This Row],[REVENUE_2020_AMT]]&lt;&gt;""),(TBL_FRF_DATA[[#This Row],[REVENUE_2019_AMT]]-TBL_FRF_DATA[[#This Row],[REVENUE_2020_AMT]])/TBL_FRF_DATA[[#This Row],[REVENUE_2019_AMT]],"")</f>
        <v/>
      </c>
      <c r="AT49" s="129" t="str">
        <f>IF(TBL_FRF_DATA[[#This Row],[REVENUE_PCT_CHANGE]]&lt;&gt;"",IF(TBL_FRF_DATA[[#This Row],[REVENUE_PCT_CHANGE]]&gt;=REVENUE_DECLINE_THRESHOLD_ELIGIBILITY,"Yes","No"),"")</f>
        <v/>
      </c>
      <c r="AU49" s="115" t="str">
        <f>IF(TBL_FRF_DATA[[#This Row],[ELIGIBILITY_BASIS]]="","",IF(TBL_FRF_DATA[[#This Row],[ELIGIBILITY_BASIS]]=ELIG_BASIS_ANNUAL_RECEIPTS,IF(TBL_FRF_DATA[[#This Row],[ANNUAL_RECEIPTS]]="","",TBL_FRF_DATA[[#This Row],[ANNUAL_RECEIPTS]]),IF(TBL_FRF_DATA[[#This Row],[NUMBER_EMPLOYEES]]="","",TBL_FRF_DATA[[#This Row],[NUMBER_EMPLOYEES]])))</f>
        <v/>
      </c>
      <c r="AV49" s="106"/>
      <c r="AW49" s="64" t="str">
        <f>IF(OR(TBL_FRF_DATA[[#This Row],[SBA_ELIGIBILITY_BUSACTUAL_VALUE]]="",TBL_FRF_DATA[[#This Row],[SBA_ELIGIBILITY_MAX_VALUE]]=""),"",IF(TBL_FRF_DATA[[#This Row],[SBA_ELIGIBILITY_BUSACTUAL_VALUE]]&lt;=TBL_FRF_DATA[[#This Row],[SBA_ELIGIBILITY_MAX_VALUE]],"Yes","No"))</f>
        <v/>
      </c>
      <c r="AX49" s="65"/>
      <c r="AY49" s="66"/>
      <c r="AZ49" s="67"/>
      <c r="BA49" s="68"/>
      <c r="BB49" s="85"/>
      <c r="BC49" s="69"/>
      <c r="BD49" s="67"/>
      <c r="BE49" s="68"/>
      <c r="BF49" s="70"/>
    </row>
    <row r="50" spans="2:58" s="31" customFormat="1" ht="26.25" customHeight="1" x14ac:dyDescent="0.2">
      <c r="B50"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0"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0"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0" s="29" t="b">
        <f>AND(TBL_FRF_DATA[[#This Row],[RECORD_STARTED]],(COUNTIFS(TBL_FRF_DATA[RECORD_STARTED],FALSE,TBL_FRF_DATA[ROW_ID],"&lt;"&amp;TBL_FRF_DATA[[#This Row],[ROW_ID]])&gt;0))</f>
        <v>0</v>
      </c>
      <c r="F50" s="27" t="str">
        <f>IF(TBL_FRF_DATA[[#This Row],[RECORD_STARTED]],IF(TBL_FRF_DATA[[#This Row],[ERROR_COUNT]]&gt;0,-1,IF(TBL_FRF_DATA[[#This Row],[REQ_FIELDS_POP]],1,0)),"")</f>
        <v/>
      </c>
      <c r="G50" s="35">
        <f>ROW()-ROW(TBL_FRF_DATA[[#Headers],[ROW_ID]])</f>
        <v>29</v>
      </c>
      <c r="H50" s="55">
        <f t="shared" si="4"/>
        <v>0</v>
      </c>
      <c r="I50" s="28" t="str">
        <f t="shared" si="5"/>
        <v>CV19SBRG___0_0__</v>
      </c>
      <c r="J50" s="28" t="str">
        <f t="shared" si="6"/>
        <v/>
      </c>
      <c r="K50" s="28" t="b">
        <f>OR(TBL_FRF_DATA[[#This Row],[ORGANIZATION_TYPE]]=RANGE_ORG_TYPE_NONPROFIT,TBL_FRF_DATA[[#This Row],[TRIBAL_LAND_FLAG]]=RANGE_YESNO_YES)</f>
        <v>0</v>
      </c>
      <c r="L50" s="28" t="b">
        <f>OR(TBL_FRF_DATA[[#This Row],[ADDRESS_STATE]]="PR",TBL_FRF_DATA[[#This Row],[ADDRESS_STATE]]="VI")</f>
        <v>0</v>
      </c>
      <c r="M50" s="120"/>
      <c r="N50" s="120"/>
      <c r="O50" s="118"/>
      <c r="P50" s="118"/>
      <c r="Q50" s="32"/>
      <c r="R50" s="33"/>
      <c r="S50" s="118"/>
      <c r="T50" s="32"/>
      <c r="U50" s="34"/>
      <c r="V50" s="122"/>
      <c r="W50" s="122"/>
      <c r="X50" s="122"/>
      <c r="Y50" s="114"/>
      <c r="Z50" s="122"/>
      <c r="AA50" s="122"/>
      <c r="AB50" s="126"/>
      <c r="AC50" s="112"/>
      <c r="AD50" s="112"/>
      <c r="AE50" s="126"/>
      <c r="AF50" s="92"/>
      <c r="AG50" s="112"/>
      <c r="AH50" s="98"/>
      <c r="AI50" s="109"/>
      <c r="AJ50" s="104"/>
      <c r="AK50" s="101"/>
      <c r="AL50" s="29" t="str">
        <f>IF(OR(TBL_FRF_DATA[[#This Row],[ELIGIBILITY_BASIS]]="",$U50&lt;0),"",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0" s="125"/>
      <c r="AN50" s="29" t="str">
        <f>IF(AND(TBL_FRF_DATA[[#This Row],[ORGANIZATION_TYPE]]=RANGE_ORG_TYPE_NONPROFIT,TBL_FRF_DATA[[#This Row],[NP_ANNUAL_OP_BUDGET]]&lt;&gt;""),IF(TBL_FRF_DATA[[#This Row],[NP_ANNUAL_OP_BUDGET]]&lt;NP_ANNUAL_OPBUDGET_THRESHOLD_ELIGIBILITY,"Yes","No"),"")</f>
        <v/>
      </c>
      <c r="AO50" s="179" t="str">
        <f>IF(TBL_FRF_DATA[[#This Row],[RECORD_STARTED]],"1/1/2019","")</f>
        <v/>
      </c>
      <c r="AP50" s="124"/>
      <c r="AQ50" s="147" t="str">
        <f>IF(TBL_FRF_DATA[[#This Row],[REVENUE_2019_PERIOD_START]]="","",DATE(YEAR(TBL_FRF_DATA[[#This Row],[REVENUE_2019_PERIOD_START]])+1,MONTH(TBL_FRF_DATA[[#This Row],[REVENUE_2019_PERIOD_START]]),DAY(TBL_FRF_DATA[[#This Row],[REVENUE_2019_PERIOD_START]])))</f>
        <v/>
      </c>
      <c r="AR50" s="124"/>
      <c r="AS50" s="130" t="str">
        <f>IF(AND(TBL_FRF_DATA[[#This Row],[REVENUE_2019_AMT]]&lt;&gt;"",TBL_FRF_DATA[[#This Row],[REVENUE_2020_AMT]]&lt;&gt;""),(TBL_FRF_DATA[[#This Row],[REVENUE_2019_AMT]]-TBL_FRF_DATA[[#This Row],[REVENUE_2020_AMT]])/TBL_FRF_DATA[[#This Row],[REVENUE_2019_AMT]],"")</f>
        <v/>
      </c>
      <c r="AT50" s="129" t="str">
        <f>IF(TBL_FRF_DATA[[#This Row],[REVENUE_PCT_CHANGE]]&lt;&gt;"",IF(TBL_FRF_DATA[[#This Row],[REVENUE_PCT_CHANGE]]&gt;=REVENUE_DECLINE_THRESHOLD_ELIGIBILITY,"Yes","No"),"")</f>
        <v/>
      </c>
      <c r="AU50" s="115" t="str">
        <f>IF(TBL_FRF_DATA[[#This Row],[ELIGIBILITY_BASIS]]="","",IF(TBL_FRF_DATA[[#This Row],[ELIGIBILITY_BASIS]]=ELIG_BASIS_ANNUAL_RECEIPTS,IF(TBL_FRF_DATA[[#This Row],[ANNUAL_RECEIPTS]]="","",TBL_FRF_DATA[[#This Row],[ANNUAL_RECEIPTS]]),IF(TBL_FRF_DATA[[#This Row],[NUMBER_EMPLOYEES]]="","",TBL_FRF_DATA[[#This Row],[NUMBER_EMPLOYEES]])))</f>
        <v/>
      </c>
      <c r="AV50" s="106"/>
      <c r="AW50" s="64" t="str">
        <f>IF(OR(TBL_FRF_DATA[[#This Row],[SBA_ELIGIBILITY_BUSACTUAL_VALUE]]="",TBL_FRF_DATA[[#This Row],[SBA_ELIGIBILITY_MAX_VALUE]]=""),"",IF(TBL_FRF_DATA[[#This Row],[SBA_ELIGIBILITY_BUSACTUAL_VALUE]]&lt;=TBL_FRF_DATA[[#This Row],[SBA_ELIGIBILITY_MAX_VALUE]],"Yes","No"))</f>
        <v/>
      </c>
      <c r="AX50" s="65"/>
      <c r="AY50" s="66"/>
      <c r="AZ50" s="67"/>
      <c r="BA50" s="68"/>
      <c r="BB50" s="85"/>
      <c r="BC50" s="69"/>
      <c r="BD50" s="67"/>
      <c r="BE50" s="68"/>
      <c r="BF50" s="70"/>
    </row>
    <row r="51" spans="2:58" s="31" customFormat="1" ht="26.25" customHeight="1" x14ac:dyDescent="0.2">
      <c r="B51"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1"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1"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1" s="29" t="b">
        <f>AND(TBL_FRF_DATA[[#This Row],[RECORD_STARTED]],(COUNTIFS(TBL_FRF_DATA[RECORD_STARTED],FALSE,TBL_FRF_DATA[ROW_ID],"&lt;"&amp;TBL_FRF_DATA[[#This Row],[ROW_ID]])&gt;0))</f>
        <v>0</v>
      </c>
      <c r="F51" s="27" t="str">
        <f>IF(TBL_FRF_DATA[[#This Row],[RECORD_STARTED]],IF(TBL_FRF_DATA[[#This Row],[ERROR_COUNT]]&gt;0,-1,IF(TBL_FRF_DATA[[#This Row],[REQ_FIELDS_POP]],1,0)),"")</f>
        <v/>
      </c>
      <c r="G51" s="35">
        <f>ROW()-ROW(TBL_FRF_DATA[[#Headers],[ROW_ID]])</f>
        <v>30</v>
      </c>
      <c r="H51" s="55">
        <f t="shared" si="4"/>
        <v>0</v>
      </c>
      <c r="I51" s="28" t="str">
        <f t="shared" si="5"/>
        <v>CV19SBRG___0_0__</v>
      </c>
      <c r="J51" s="28" t="str">
        <f t="shared" si="6"/>
        <v/>
      </c>
      <c r="K51" s="28" t="b">
        <f>OR(TBL_FRF_DATA[[#This Row],[ORGANIZATION_TYPE]]=RANGE_ORG_TYPE_NONPROFIT,TBL_FRF_DATA[[#This Row],[TRIBAL_LAND_FLAG]]=RANGE_YESNO_YES)</f>
        <v>0</v>
      </c>
      <c r="L51" s="28" t="b">
        <f>OR(TBL_FRF_DATA[[#This Row],[ADDRESS_STATE]]="PR",TBL_FRF_DATA[[#This Row],[ADDRESS_STATE]]="VI")</f>
        <v>0</v>
      </c>
      <c r="M51" s="120"/>
      <c r="N51" s="120"/>
      <c r="O51" s="118"/>
      <c r="P51" s="118"/>
      <c r="Q51" s="32"/>
      <c r="R51" s="33"/>
      <c r="S51" s="118"/>
      <c r="T51" s="32"/>
      <c r="U51" s="34"/>
      <c r="V51" s="122"/>
      <c r="W51" s="122"/>
      <c r="X51" s="122"/>
      <c r="Y51" s="114"/>
      <c r="Z51" s="122"/>
      <c r="AA51" s="122"/>
      <c r="AB51" s="126"/>
      <c r="AC51" s="112"/>
      <c r="AD51" s="112"/>
      <c r="AE51" s="126"/>
      <c r="AF51" s="92"/>
      <c r="AG51" s="112"/>
      <c r="AH51" s="98"/>
      <c r="AI51" s="109"/>
      <c r="AJ51" s="104"/>
      <c r="AK51" s="101"/>
      <c r="AL51" s="29" t="str">
        <f>IF(OR(TBL_FRF_DATA[[#This Row],[ELIGIBILITY_BASIS]]="",$U51&lt;0),"",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1" s="125"/>
      <c r="AN51" s="29" t="str">
        <f>IF(AND(TBL_FRF_DATA[[#This Row],[ORGANIZATION_TYPE]]=RANGE_ORG_TYPE_NONPROFIT,TBL_FRF_DATA[[#This Row],[NP_ANNUAL_OP_BUDGET]]&lt;&gt;""),IF(TBL_FRF_DATA[[#This Row],[NP_ANNUAL_OP_BUDGET]]&lt;NP_ANNUAL_OPBUDGET_THRESHOLD_ELIGIBILITY,"Yes","No"),"")</f>
        <v/>
      </c>
      <c r="AO51" s="179" t="str">
        <f>IF(TBL_FRF_DATA[[#This Row],[RECORD_STARTED]],"1/1/2019","")</f>
        <v/>
      </c>
      <c r="AP51" s="124"/>
      <c r="AQ51" s="147" t="str">
        <f>IF(TBL_FRF_DATA[[#This Row],[REVENUE_2019_PERIOD_START]]="","",DATE(YEAR(TBL_FRF_DATA[[#This Row],[REVENUE_2019_PERIOD_START]])+1,MONTH(TBL_FRF_DATA[[#This Row],[REVENUE_2019_PERIOD_START]]),DAY(TBL_FRF_DATA[[#This Row],[REVENUE_2019_PERIOD_START]])))</f>
        <v/>
      </c>
      <c r="AR51" s="124"/>
      <c r="AS51" s="130" t="str">
        <f>IF(AND(TBL_FRF_DATA[[#This Row],[REVENUE_2019_AMT]]&lt;&gt;"",TBL_FRF_DATA[[#This Row],[REVENUE_2020_AMT]]&lt;&gt;""),(TBL_FRF_DATA[[#This Row],[REVENUE_2019_AMT]]-TBL_FRF_DATA[[#This Row],[REVENUE_2020_AMT]])/TBL_FRF_DATA[[#This Row],[REVENUE_2019_AMT]],"")</f>
        <v/>
      </c>
      <c r="AT51" s="129" t="str">
        <f>IF(TBL_FRF_DATA[[#This Row],[REVENUE_PCT_CHANGE]]&lt;&gt;"",IF(TBL_FRF_DATA[[#This Row],[REVENUE_PCT_CHANGE]]&gt;=REVENUE_DECLINE_THRESHOLD_ELIGIBILITY,"Yes","No"),"")</f>
        <v/>
      </c>
      <c r="AU51" s="115" t="str">
        <f>IF(TBL_FRF_DATA[[#This Row],[ELIGIBILITY_BASIS]]="","",IF(TBL_FRF_DATA[[#This Row],[ELIGIBILITY_BASIS]]=ELIG_BASIS_ANNUAL_RECEIPTS,IF(TBL_FRF_DATA[[#This Row],[ANNUAL_RECEIPTS]]="","",TBL_FRF_DATA[[#This Row],[ANNUAL_RECEIPTS]]),IF(TBL_FRF_DATA[[#This Row],[NUMBER_EMPLOYEES]]="","",TBL_FRF_DATA[[#This Row],[NUMBER_EMPLOYEES]])))</f>
        <v/>
      </c>
      <c r="AV51" s="106"/>
      <c r="AW51" s="64" t="str">
        <f>IF(OR(TBL_FRF_DATA[[#This Row],[SBA_ELIGIBILITY_BUSACTUAL_VALUE]]="",TBL_FRF_DATA[[#This Row],[SBA_ELIGIBILITY_MAX_VALUE]]=""),"",IF(TBL_FRF_DATA[[#This Row],[SBA_ELIGIBILITY_BUSACTUAL_VALUE]]&lt;=TBL_FRF_DATA[[#This Row],[SBA_ELIGIBILITY_MAX_VALUE]],"Yes","No"))</f>
        <v/>
      </c>
      <c r="AX51" s="65"/>
      <c r="AY51" s="66"/>
      <c r="AZ51" s="67"/>
      <c r="BA51" s="68"/>
      <c r="BB51" s="85"/>
      <c r="BC51" s="69"/>
      <c r="BD51" s="67"/>
      <c r="BE51" s="68"/>
      <c r="BF51" s="70"/>
    </row>
    <row r="52" spans="2:58" s="31" customFormat="1" ht="26.25" customHeight="1" x14ac:dyDescent="0.2">
      <c r="B52"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2"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2"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2" s="29" t="b">
        <f>AND(TBL_FRF_DATA[[#This Row],[RECORD_STARTED]],(COUNTIFS(TBL_FRF_DATA[RECORD_STARTED],FALSE,TBL_FRF_DATA[ROW_ID],"&lt;"&amp;TBL_FRF_DATA[[#This Row],[ROW_ID]])&gt;0))</f>
        <v>0</v>
      </c>
      <c r="F52" s="27" t="str">
        <f>IF(TBL_FRF_DATA[[#This Row],[RECORD_STARTED]],IF(TBL_FRF_DATA[[#This Row],[ERROR_COUNT]]&gt;0,-1,IF(TBL_FRF_DATA[[#This Row],[REQ_FIELDS_POP]],1,0)),"")</f>
        <v/>
      </c>
      <c r="G52" s="35">
        <f>ROW()-ROW(TBL_FRF_DATA[[#Headers],[ROW_ID]])</f>
        <v>31</v>
      </c>
      <c r="H52" s="55">
        <f t="shared" si="4"/>
        <v>0</v>
      </c>
      <c r="I52" s="28" t="str">
        <f t="shared" si="5"/>
        <v>CV19SBRG___0_0__</v>
      </c>
      <c r="J52" s="28" t="str">
        <f t="shared" si="6"/>
        <v/>
      </c>
      <c r="K52" s="28" t="b">
        <f>OR(TBL_FRF_DATA[[#This Row],[ORGANIZATION_TYPE]]=RANGE_ORG_TYPE_NONPROFIT,TBL_FRF_DATA[[#This Row],[TRIBAL_LAND_FLAG]]=RANGE_YESNO_YES)</f>
        <v>0</v>
      </c>
      <c r="L52" s="28" t="b">
        <f>OR(TBL_FRF_DATA[[#This Row],[ADDRESS_STATE]]="PR",TBL_FRF_DATA[[#This Row],[ADDRESS_STATE]]="VI")</f>
        <v>0</v>
      </c>
      <c r="M52" s="120"/>
      <c r="N52" s="120"/>
      <c r="O52" s="118"/>
      <c r="P52" s="118"/>
      <c r="Q52" s="32"/>
      <c r="R52" s="33"/>
      <c r="S52" s="118"/>
      <c r="T52" s="32"/>
      <c r="U52" s="34"/>
      <c r="V52" s="122"/>
      <c r="W52" s="122"/>
      <c r="X52" s="122"/>
      <c r="Y52" s="114"/>
      <c r="Z52" s="122"/>
      <c r="AA52" s="122"/>
      <c r="AB52" s="126"/>
      <c r="AC52" s="112"/>
      <c r="AD52" s="112"/>
      <c r="AE52" s="126"/>
      <c r="AF52" s="92"/>
      <c r="AG52" s="112"/>
      <c r="AH52" s="98"/>
      <c r="AI52" s="109"/>
      <c r="AJ52" s="104"/>
      <c r="AK52" s="101"/>
      <c r="AL52" s="29" t="str">
        <f>IF(OR(TBL_FRF_DATA[[#This Row],[ELIGIBILITY_BASIS]]="",$U52&lt;0),"",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2" s="125"/>
      <c r="AN52" s="29" t="str">
        <f>IF(AND(TBL_FRF_DATA[[#This Row],[ORGANIZATION_TYPE]]=RANGE_ORG_TYPE_NONPROFIT,TBL_FRF_DATA[[#This Row],[NP_ANNUAL_OP_BUDGET]]&lt;&gt;""),IF(TBL_FRF_DATA[[#This Row],[NP_ANNUAL_OP_BUDGET]]&lt;NP_ANNUAL_OPBUDGET_THRESHOLD_ELIGIBILITY,"Yes","No"),"")</f>
        <v/>
      </c>
      <c r="AO52" s="179" t="str">
        <f>IF(TBL_FRF_DATA[[#This Row],[RECORD_STARTED]],"1/1/2019","")</f>
        <v/>
      </c>
      <c r="AP52" s="124"/>
      <c r="AQ52" s="147" t="str">
        <f>IF(TBL_FRF_DATA[[#This Row],[REVENUE_2019_PERIOD_START]]="","",DATE(YEAR(TBL_FRF_DATA[[#This Row],[REVENUE_2019_PERIOD_START]])+1,MONTH(TBL_FRF_DATA[[#This Row],[REVENUE_2019_PERIOD_START]]),DAY(TBL_FRF_DATA[[#This Row],[REVENUE_2019_PERIOD_START]])))</f>
        <v/>
      </c>
      <c r="AR52" s="124"/>
      <c r="AS52" s="130" t="str">
        <f>IF(AND(TBL_FRF_DATA[[#This Row],[REVENUE_2019_AMT]]&lt;&gt;"",TBL_FRF_DATA[[#This Row],[REVENUE_2020_AMT]]&lt;&gt;""),(TBL_FRF_DATA[[#This Row],[REVENUE_2019_AMT]]-TBL_FRF_DATA[[#This Row],[REVENUE_2020_AMT]])/TBL_FRF_DATA[[#This Row],[REVENUE_2019_AMT]],"")</f>
        <v/>
      </c>
      <c r="AT52" s="129" t="str">
        <f>IF(TBL_FRF_DATA[[#This Row],[REVENUE_PCT_CHANGE]]&lt;&gt;"",IF(TBL_FRF_DATA[[#This Row],[REVENUE_PCT_CHANGE]]&gt;=REVENUE_DECLINE_THRESHOLD_ELIGIBILITY,"Yes","No"),"")</f>
        <v/>
      </c>
      <c r="AU52" s="115" t="str">
        <f>IF(TBL_FRF_DATA[[#This Row],[ELIGIBILITY_BASIS]]="","",IF(TBL_FRF_DATA[[#This Row],[ELIGIBILITY_BASIS]]=ELIG_BASIS_ANNUAL_RECEIPTS,IF(TBL_FRF_DATA[[#This Row],[ANNUAL_RECEIPTS]]="","",TBL_FRF_DATA[[#This Row],[ANNUAL_RECEIPTS]]),IF(TBL_FRF_DATA[[#This Row],[NUMBER_EMPLOYEES]]="","",TBL_FRF_DATA[[#This Row],[NUMBER_EMPLOYEES]])))</f>
        <v/>
      </c>
      <c r="AV52" s="106"/>
      <c r="AW52" s="64" t="str">
        <f>IF(OR(TBL_FRF_DATA[[#This Row],[SBA_ELIGIBILITY_BUSACTUAL_VALUE]]="",TBL_FRF_DATA[[#This Row],[SBA_ELIGIBILITY_MAX_VALUE]]=""),"",IF(TBL_FRF_DATA[[#This Row],[SBA_ELIGIBILITY_BUSACTUAL_VALUE]]&lt;=TBL_FRF_DATA[[#This Row],[SBA_ELIGIBILITY_MAX_VALUE]],"Yes","No"))</f>
        <v/>
      </c>
      <c r="AX52" s="65"/>
      <c r="AY52" s="66"/>
      <c r="AZ52" s="67"/>
      <c r="BA52" s="68"/>
      <c r="BB52" s="85"/>
      <c r="BC52" s="69"/>
      <c r="BD52" s="67"/>
      <c r="BE52" s="68"/>
      <c r="BF52" s="70"/>
    </row>
    <row r="53" spans="2:58" s="31" customFormat="1" ht="26.25" customHeight="1" x14ac:dyDescent="0.2">
      <c r="B53"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3"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3"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3" s="29" t="b">
        <f>AND(TBL_FRF_DATA[[#This Row],[RECORD_STARTED]],(COUNTIFS(TBL_FRF_DATA[RECORD_STARTED],FALSE,TBL_FRF_DATA[ROW_ID],"&lt;"&amp;TBL_FRF_DATA[[#This Row],[ROW_ID]])&gt;0))</f>
        <v>0</v>
      </c>
      <c r="F53" s="27" t="str">
        <f>IF(TBL_FRF_DATA[[#This Row],[RECORD_STARTED]],IF(TBL_FRF_DATA[[#This Row],[ERROR_COUNT]]&gt;0,-1,IF(TBL_FRF_DATA[[#This Row],[REQ_FIELDS_POP]],1,0)),"")</f>
        <v/>
      </c>
      <c r="G53" s="35">
        <f>ROW()-ROW(TBL_FRF_DATA[[#Headers],[ROW_ID]])</f>
        <v>32</v>
      </c>
      <c r="H53" s="55">
        <f t="shared" si="4"/>
        <v>0</v>
      </c>
      <c r="I53" s="28" t="str">
        <f t="shared" si="5"/>
        <v>CV19SBRG___0_0__</v>
      </c>
      <c r="J53" s="28" t="str">
        <f t="shared" si="6"/>
        <v/>
      </c>
      <c r="K53" s="28" t="b">
        <f>OR(TBL_FRF_DATA[[#This Row],[ORGANIZATION_TYPE]]=RANGE_ORG_TYPE_NONPROFIT,TBL_FRF_DATA[[#This Row],[TRIBAL_LAND_FLAG]]=RANGE_YESNO_YES)</f>
        <v>0</v>
      </c>
      <c r="L53" s="28" t="b">
        <f>OR(TBL_FRF_DATA[[#This Row],[ADDRESS_STATE]]="PR",TBL_FRF_DATA[[#This Row],[ADDRESS_STATE]]="VI")</f>
        <v>0</v>
      </c>
      <c r="M53" s="120"/>
      <c r="N53" s="120"/>
      <c r="O53" s="118"/>
      <c r="P53" s="118"/>
      <c r="Q53" s="32"/>
      <c r="R53" s="33"/>
      <c r="S53" s="118"/>
      <c r="T53" s="32"/>
      <c r="U53" s="34"/>
      <c r="V53" s="122"/>
      <c r="W53" s="122"/>
      <c r="X53" s="122"/>
      <c r="Y53" s="114"/>
      <c r="Z53" s="122"/>
      <c r="AA53" s="122"/>
      <c r="AB53" s="126"/>
      <c r="AC53" s="112"/>
      <c r="AD53" s="112"/>
      <c r="AE53" s="126"/>
      <c r="AF53" s="92"/>
      <c r="AG53" s="112"/>
      <c r="AH53" s="98"/>
      <c r="AI53" s="109"/>
      <c r="AJ53" s="104"/>
      <c r="AK53" s="101"/>
      <c r="AL53" s="29" t="str">
        <f>IF(OR(TBL_FRF_DATA[[#This Row],[ELIGIBILITY_BASIS]]="",$U53&lt;0),"",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3" s="125"/>
      <c r="AN53" s="29" t="str">
        <f>IF(AND(TBL_FRF_DATA[[#This Row],[ORGANIZATION_TYPE]]=RANGE_ORG_TYPE_NONPROFIT,TBL_FRF_DATA[[#This Row],[NP_ANNUAL_OP_BUDGET]]&lt;&gt;""),IF(TBL_FRF_DATA[[#This Row],[NP_ANNUAL_OP_BUDGET]]&lt;NP_ANNUAL_OPBUDGET_THRESHOLD_ELIGIBILITY,"Yes","No"),"")</f>
        <v/>
      </c>
      <c r="AO53" s="179" t="str">
        <f>IF(TBL_FRF_DATA[[#This Row],[RECORD_STARTED]],"1/1/2019","")</f>
        <v/>
      </c>
      <c r="AP53" s="124"/>
      <c r="AQ53" s="147" t="str">
        <f>IF(TBL_FRF_DATA[[#This Row],[REVENUE_2019_PERIOD_START]]="","",DATE(YEAR(TBL_FRF_DATA[[#This Row],[REVENUE_2019_PERIOD_START]])+1,MONTH(TBL_FRF_DATA[[#This Row],[REVENUE_2019_PERIOD_START]]),DAY(TBL_FRF_DATA[[#This Row],[REVENUE_2019_PERIOD_START]])))</f>
        <v/>
      </c>
      <c r="AR53" s="124"/>
      <c r="AS53" s="130" t="str">
        <f>IF(AND(TBL_FRF_DATA[[#This Row],[REVENUE_2019_AMT]]&lt;&gt;"",TBL_FRF_DATA[[#This Row],[REVENUE_2020_AMT]]&lt;&gt;""),(TBL_FRF_DATA[[#This Row],[REVENUE_2019_AMT]]-TBL_FRF_DATA[[#This Row],[REVENUE_2020_AMT]])/TBL_FRF_DATA[[#This Row],[REVENUE_2019_AMT]],"")</f>
        <v/>
      </c>
      <c r="AT53" s="129" t="str">
        <f>IF(TBL_FRF_DATA[[#This Row],[REVENUE_PCT_CHANGE]]&lt;&gt;"",IF(TBL_FRF_DATA[[#This Row],[REVENUE_PCT_CHANGE]]&gt;=REVENUE_DECLINE_THRESHOLD_ELIGIBILITY,"Yes","No"),"")</f>
        <v/>
      </c>
      <c r="AU53" s="115" t="str">
        <f>IF(TBL_FRF_DATA[[#This Row],[ELIGIBILITY_BASIS]]="","",IF(TBL_FRF_DATA[[#This Row],[ELIGIBILITY_BASIS]]=ELIG_BASIS_ANNUAL_RECEIPTS,IF(TBL_FRF_DATA[[#This Row],[ANNUAL_RECEIPTS]]="","",TBL_FRF_DATA[[#This Row],[ANNUAL_RECEIPTS]]),IF(TBL_FRF_DATA[[#This Row],[NUMBER_EMPLOYEES]]="","",TBL_FRF_DATA[[#This Row],[NUMBER_EMPLOYEES]])))</f>
        <v/>
      </c>
      <c r="AV53" s="106"/>
      <c r="AW53" s="64" t="str">
        <f>IF(OR(TBL_FRF_DATA[[#This Row],[SBA_ELIGIBILITY_BUSACTUAL_VALUE]]="",TBL_FRF_DATA[[#This Row],[SBA_ELIGIBILITY_MAX_VALUE]]=""),"",IF(TBL_FRF_DATA[[#This Row],[SBA_ELIGIBILITY_BUSACTUAL_VALUE]]&lt;=TBL_FRF_DATA[[#This Row],[SBA_ELIGIBILITY_MAX_VALUE]],"Yes","No"))</f>
        <v/>
      </c>
      <c r="AX53" s="65"/>
      <c r="AY53" s="66"/>
      <c r="AZ53" s="67"/>
      <c r="BA53" s="68"/>
      <c r="BB53" s="85"/>
      <c r="BC53" s="69"/>
      <c r="BD53" s="67"/>
      <c r="BE53" s="68"/>
      <c r="BF53" s="70"/>
    </row>
    <row r="54" spans="2:58" s="31" customFormat="1" ht="26.25" customHeight="1" x14ac:dyDescent="0.2">
      <c r="B54"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4"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4"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4" s="29" t="b">
        <f>AND(TBL_FRF_DATA[[#This Row],[RECORD_STARTED]],(COUNTIFS(TBL_FRF_DATA[RECORD_STARTED],FALSE,TBL_FRF_DATA[ROW_ID],"&lt;"&amp;TBL_FRF_DATA[[#This Row],[ROW_ID]])&gt;0))</f>
        <v>0</v>
      </c>
      <c r="F54" s="27" t="str">
        <f>IF(TBL_FRF_DATA[[#This Row],[RECORD_STARTED]],IF(TBL_FRF_DATA[[#This Row],[ERROR_COUNT]]&gt;0,-1,IF(TBL_FRF_DATA[[#This Row],[REQ_FIELDS_POP]],1,0)),"")</f>
        <v/>
      </c>
      <c r="G54" s="35">
        <f>ROW()-ROW(TBL_FRF_DATA[[#Headers],[ROW_ID]])</f>
        <v>33</v>
      </c>
      <c r="H54" s="55">
        <f t="shared" si="4"/>
        <v>0</v>
      </c>
      <c r="I54" s="28" t="str">
        <f t="shared" si="5"/>
        <v>CV19SBRG___0_0__</v>
      </c>
      <c r="J54" s="28" t="str">
        <f t="shared" si="6"/>
        <v/>
      </c>
      <c r="K54" s="28" t="b">
        <f>OR(TBL_FRF_DATA[[#This Row],[ORGANIZATION_TYPE]]=RANGE_ORG_TYPE_NONPROFIT,TBL_FRF_DATA[[#This Row],[TRIBAL_LAND_FLAG]]=RANGE_YESNO_YES)</f>
        <v>0</v>
      </c>
      <c r="L54" s="28" t="b">
        <f>OR(TBL_FRF_DATA[[#This Row],[ADDRESS_STATE]]="PR",TBL_FRF_DATA[[#This Row],[ADDRESS_STATE]]="VI")</f>
        <v>0</v>
      </c>
      <c r="M54" s="120"/>
      <c r="N54" s="120"/>
      <c r="O54" s="118"/>
      <c r="P54" s="118"/>
      <c r="Q54" s="32"/>
      <c r="R54" s="33"/>
      <c r="S54" s="118"/>
      <c r="T54" s="32"/>
      <c r="U54" s="34"/>
      <c r="V54" s="122"/>
      <c r="W54" s="122"/>
      <c r="X54" s="122"/>
      <c r="Y54" s="114"/>
      <c r="Z54" s="122"/>
      <c r="AA54" s="122"/>
      <c r="AB54" s="126"/>
      <c r="AC54" s="112"/>
      <c r="AD54" s="112"/>
      <c r="AE54" s="126"/>
      <c r="AF54" s="92"/>
      <c r="AG54" s="112"/>
      <c r="AH54" s="98"/>
      <c r="AI54" s="109"/>
      <c r="AJ54" s="104"/>
      <c r="AK54" s="101"/>
      <c r="AL54" s="29" t="str">
        <f>IF(OR(TBL_FRF_DATA[[#This Row],[ELIGIBILITY_BASIS]]="",$U54&lt;0),"",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4" s="125"/>
      <c r="AN54" s="29" t="str">
        <f>IF(AND(TBL_FRF_DATA[[#This Row],[ORGANIZATION_TYPE]]=RANGE_ORG_TYPE_NONPROFIT,TBL_FRF_DATA[[#This Row],[NP_ANNUAL_OP_BUDGET]]&lt;&gt;""),IF(TBL_FRF_DATA[[#This Row],[NP_ANNUAL_OP_BUDGET]]&lt;NP_ANNUAL_OPBUDGET_THRESHOLD_ELIGIBILITY,"Yes","No"),"")</f>
        <v/>
      </c>
      <c r="AO54" s="179" t="str">
        <f>IF(TBL_FRF_DATA[[#This Row],[RECORD_STARTED]],"1/1/2019","")</f>
        <v/>
      </c>
      <c r="AP54" s="124"/>
      <c r="AQ54" s="147" t="str">
        <f>IF(TBL_FRF_DATA[[#This Row],[REVENUE_2019_PERIOD_START]]="","",DATE(YEAR(TBL_FRF_DATA[[#This Row],[REVENUE_2019_PERIOD_START]])+1,MONTH(TBL_FRF_DATA[[#This Row],[REVENUE_2019_PERIOD_START]]),DAY(TBL_FRF_DATA[[#This Row],[REVENUE_2019_PERIOD_START]])))</f>
        <v/>
      </c>
      <c r="AR54" s="124"/>
      <c r="AS54" s="130" t="str">
        <f>IF(AND(TBL_FRF_DATA[[#This Row],[REVENUE_2019_AMT]]&lt;&gt;"",TBL_FRF_DATA[[#This Row],[REVENUE_2020_AMT]]&lt;&gt;""),(TBL_FRF_DATA[[#This Row],[REVENUE_2019_AMT]]-TBL_FRF_DATA[[#This Row],[REVENUE_2020_AMT]])/TBL_FRF_DATA[[#This Row],[REVENUE_2019_AMT]],"")</f>
        <v/>
      </c>
      <c r="AT54" s="129" t="str">
        <f>IF(TBL_FRF_DATA[[#This Row],[REVENUE_PCT_CHANGE]]&lt;&gt;"",IF(TBL_FRF_DATA[[#This Row],[REVENUE_PCT_CHANGE]]&gt;=REVENUE_DECLINE_THRESHOLD_ELIGIBILITY,"Yes","No"),"")</f>
        <v/>
      </c>
      <c r="AU54" s="115" t="str">
        <f>IF(TBL_FRF_DATA[[#This Row],[ELIGIBILITY_BASIS]]="","",IF(TBL_FRF_DATA[[#This Row],[ELIGIBILITY_BASIS]]=ELIG_BASIS_ANNUAL_RECEIPTS,IF(TBL_FRF_DATA[[#This Row],[ANNUAL_RECEIPTS]]="","",TBL_FRF_DATA[[#This Row],[ANNUAL_RECEIPTS]]),IF(TBL_FRF_DATA[[#This Row],[NUMBER_EMPLOYEES]]="","",TBL_FRF_DATA[[#This Row],[NUMBER_EMPLOYEES]])))</f>
        <v/>
      </c>
      <c r="AV54" s="106"/>
      <c r="AW54" s="64" t="str">
        <f>IF(OR(TBL_FRF_DATA[[#This Row],[SBA_ELIGIBILITY_BUSACTUAL_VALUE]]="",TBL_FRF_DATA[[#This Row],[SBA_ELIGIBILITY_MAX_VALUE]]=""),"",IF(TBL_FRF_DATA[[#This Row],[SBA_ELIGIBILITY_BUSACTUAL_VALUE]]&lt;=TBL_FRF_DATA[[#This Row],[SBA_ELIGIBILITY_MAX_VALUE]],"Yes","No"))</f>
        <v/>
      </c>
      <c r="AX54" s="65"/>
      <c r="AY54" s="66"/>
      <c r="AZ54" s="67"/>
      <c r="BA54" s="68"/>
      <c r="BB54" s="85"/>
      <c r="BC54" s="69"/>
      <c r="BD54" s="67"/>
      <c r="BE54" s="68"/>
      <c r="BF54" s="70"/>
    </row>
    <row r="55" spans="2:58" s="31" customFormat="1" ht="26.25" customHeight="1" x14ac:dyDescent="0.2">
      <c r="B55"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5"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5"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5" s="29" t="b">
        <f>AND(TBL_FRF_DATA[[#This Row],[RECORD_STARTED]],(COUNTIFS(TBL_FRF_DATA[RECORD_STARTED],FALSE,TBL_FRF_DATA[ROW_ID],"&lt;"&amp;TBL_FRF_DATA[[#This Row],[ROW_ID]])&gt;0))</f>
        <v>0</v>
      </c>
      <c r="F55" s="27" t="str">
        <f>IF(TBL_FRF_DATA[[#This Row],[RECORD_STARTED]],IF(TBL_FRF_DATA[[#This Row],[ERROR_COUNT]]&gt;0,-1,IF(TBL_FRF_DATA[[#This Row],[REQ_FIELDS_POP]],1,0)),"")</f>
        <v/>
      </c>
      <c r="G55" s="35">
        <f>ROW()-ROW(TBL_FRF_DATA[[#Headers],[ROW_ID]])</f>
        <v>34</v>
      </c>
      <c r="H55" s="55">
        <f t="shared" si="4"/>
        <v>0</v>
      </c>
      <c r="I55" s="28" t="str">
        <f t="shared" si="5"/>
        <v>CV19SBRG___0_0__</v>
      </c>
      <c r="J55" s="28" t="str">
        <f t="shared" si="6"/>
        <v/>
      </c>
      <c r="K55" s="28" t="b">
        <f>OR(TBL_FRF_DATA[[#This Row],[ORGANIZATION_TYPE]]=RANGE_ORG_TYPE_NONPROFIT,TBL_FRF_DATA[[#This Row],[TRIBAL_LAND_FLAG]]=RANGE_YESNO_YES)</f>
        <v>0</v>
      </c>
      <c r="L55" s="28" t="b">
        <f>OR(TBL_FRF_DATA[[#This Row],[ADDRESS_STATE]]="PR",TBL_FRF_DATA[[#This Row],[ADDRESS_STATE]]="VI")</f>
        <v>0</v>
      </c>
      <c r="M55" s="120"/>
      <c r="N55" s="120"/>
      <c r="O55" s="118"/>
      <c r="P55" s="118"/>
      <c r="Q55" s="32"/>
      <c r="R55" s="33"/>
      <c r="S55" s="118"/>
      <c r="T55" s="32"/>
      <c r="U55" s="34"/>
      <c r="V55" s="122"/>
      <c r="W55" s="122"/>
      <c r="X55" s="122"/>
      <c r="Y55" s="114"/>
      <c r="Z55" s="122"/>
      <c r="AA55" s="122"/>
      <c r="AB55" s="126"/>
      <c r="AC55" s="112"/>
      <c r="AD55" s="112"/>
      <c r="AE55" s="126"/>
      <c r="AF55" s="92"/>
      <c r="AG55" s="112"/>
      <c r="AH55" s="98"/>
      <c r="AI55" s="109"/>
      <c r="AJ55" s="104"/>
      <c r="AK55" s="101"/>
      <c r="AL55" s="29" t="str">
        <f>IF(OR(TBL_FRF_DATA[[#This Row],[ELIGIBILITY_BASIS]]="",$U55&lt;0),"",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5" s="125"/>
      <c r="AN55" s="29" t="str">
        <f>IF(AND(TBL_FRF_DATA[[#This Row],[ORGANIZATION_TYPE]]=RANGE_ORG_TYPE_NONPROFIT,TBL_FRF_DATA[[#This Row],[NP_ANNUAL_OP_BUDGET]]&lt;&gt;""),IF(TBL_FRF_DATA[[#This Row],[NP_ANNUAL_OP_BUDGET]]&lt;NP_ANNUAL_OPBUDGET_THRESHOLD_ELIGIBILITY,"Yes","No"),"")</f>
        <v/>
      </c>
      <c r="AO55" s="179" t="str">
        <f>IF(TBL_FRF_DATA[[#This Row],[RECORD_STARTED]],"1/1/2019","")</f>
        <v/>
      </c>
      <c r="AP55" s="124"/>
      <c r="AQ55" s="147" t="str">
        <f>IF(TBL_FRF_DATA[[#This Row],[REVENUE_2019_PERIOD_START]]="","",DATE(YEAR(TBL_FRF_DATA[[#This Row],[REVENUE_2019_PERIOD_START]])+1,MONTH(TBL_FRF_DATA[[#This Row],[REVENUE_2019_PERIOD_START]]),DAY(TBL_FRF_DATA[[#This Row],[REVENUE_2019_PERIOD_START]])))</f>
        <v/>
      </c>
      <c r="AR55" s="124"/>
      <c r="AS55" s="130" t="str">
        <f>IF(AND(TBL_FRF_DATA[[#This Row],[REVENUE_2019_AMT]]&lt;&gt;"",TBL_FRF_DATA[[#This Row],[REVENUE_2020_AMT]]&lt;&gt;""),(TBL_FRF_DATA[[#This Row],[REVENUE_2019_AMT]]-TBL_FRF_DATA[[#This Row],[REVENUE_2020_AMT]])/TBL_FRF_DATA[[#This Row],[REVENUE_2019_AMT]],"")</f>
        <v/>
      </c>
      <c r="AT55" s="129" t="str">
        <f>IF(TBL_FRF_DATA[[#This Row],[REVENUE_PCT_CHANGE]]&lt;&gt;"",IF(TBL_FRF_DATA[[#This Row],[REVENUE_PCT_CHANGE]]&gt;=REVENUE_DECLINE_THRESHOLD_ELIGIBILITY,"Yes","No"),"")</f>
        <v/>
      </c>
      <c r="AU55" s="115" t="str">
        <f>IF(TBL_FRF_DATA[[#This Row],[ELIGIBILITY_BASIS]]="","",IF(TBL_FRF_DATA[[#This Row],[ELIGIBILITY_BASIS]]=ELIG_BASIS_ANNUAL_RECEIPTS,IF(TBL_FRF_DATA[[#This Row],[ANNUAL_RECEIPTS]]="","",TBL_FRF_DATA[[#This Row],[ANNUAL_RECEIPTS]]),IF(TBL_FRF_DATA[[#This Row],[NUMBER_EMPLOYEES]]="","",TBL_FRF_DATA[[#This Row],[NUMBER_EMPLOYEES]])))</f>
        <v/>
      </c>
      <c r="AV55" s="106"/>
      <c r="AW55" s="64" t="str">
        <f>IF(OR(TBL_FRF_DATA[[#This Row],[SBA_ELIGIBILITY_BUSACTUAL_VALUE]]="",TBL_FRF_DATA[[#This Row],[SBA_ELIGIBILITY_MAX_VALUE]]=""),"",IF(TBL_FRF_DATA[[#This Row],[SBA_ELIGIBILITY_BUSACTUAL_VALUE]]&lt;=TBL_FRF_DATA[[#This Row],[SBA_ELIGIBILITY_MAX_VALUE]],"Yes","No"))</f>
        <v/>
      </c>
      <c r="AX55" s="65"/>
      <c r="AY55" s="66"/>
      <c r="AZ55" s="67"/>
      <c r="BA55" s="68"/>
      <c r="BB55" s="85"/>
      <c r="BC55" s="69"/>
      <c r="BD55" s="67"/>
      <c r="BE55" s="68"/>
      <c r="BF55" s="70"/>
    </row>
    <row r="56" spans="2:58" s="31" customFormat="1" ht="26.25" customHeight="1" x14ac:dyDescent="0.2">
      <c r="B56"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6"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6"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6" s="29" t="b">
        <f>AND(TBL_FRF_DATA[[#This Row],[RECORD_STARTED]],(COUNTIFS(TBL_FRF_DATA[RECORD_STARTED],FALSE,TBL_FRF_DATA[ROW_ID],"&lt;"&amp;TBL_FRF_DATA[[#This Row],[ROW_ID]])&gt;0))</f>
        <v>0</v>
      </c>
      <c r="F56" s="27" t="str">
        <f>IF(TBL_FRF_DATA[[#This Row],[RECORD_STARTED]],IF(TBL_FRF_DATA[[#This Row],[ERROR_COUNT]]&gt;0,-1,IF(TBL_FRF_DATA[[#This Row],[REQ_FIELDS_POP]],1,0)),"")</f>
        <v/>
      </c>
      <c r="G56" s="35">
        <f>ROW()-ROW(TBL_FRF_DATA[[#Headers],[ROW_ID]])</f>
        <v>35</v>
      </c>
      <c r="H56" s="55">
        <f t="shared" si="4"/>
        <v>0</v>
      </c>
      <c r="I56" s="28" t="str">
        <f t="shared" si="5"/>
        <v>CV19SBRG___0_0__</v>
      </c>
      <c r="J56" s="28" t="str">
        <f t="shared" si="6"/>
        <v/>
      </c>
      <c r="K56" s="28" t="b">
        <f>OR(TBL_FRF_DATA[[#This Row],[ORGANIZATION_TYPE]]=RANGE_ORG_TYPE_NONPROFIT,TBL_FRF_DATA[[#This Row],[TRIBAL_LAND_FLAG]]=RANGE_YESNO_YES)</f>
        <v>0</v>
      </c>
      <c r="L56" s="28" t="b">
        <f>OR(TBL_FRF_DATA[[#This Row],[ADDRESS_STATE]]="PR",TBL_FRF_DATA[[#This Row],[ADDRESS_STATE]]="VI")</f>
        <v>0</v>
      </c>
      <c r="M56" s="120"/>
      <c r="N56" s="120"/>
      <c r="O56" s="118"/>
      <c r="P56" s="118"/>
      <c r="Q56" s="32"/>
      <c r="R56" s="33"/>
      <c r="S56" s="118"/>
      <c r="T56" s="32"/>
      <c r="U56" s="34"/>
      <c r="V56" s="122"/>
      <c r="W56" s="122"/>
      <c r="X56" s="122"/>
      <c r="Y56" s="114"/>
      <c r="Z56" s="122"/>
      <c r="AA56" s="122"/>
      <c r="AB56" s="126"/>
      <c r="AC56" s="112"/>
      <c r="AD56" s="112"/>
      <c r="AE56" s="126"/>
      <c r="AF56" s="92"/>
      <c r="AG56" s="112"/>
      <c r="AH56" s="98"/>
      <c r="AI56" s="109"/>
      <c r="AJ56" s="104"/>
      <c r="AK56" s="101"/>
      <c r="AL56" s="29" t="str">
        <f>IF(OR(TBL_FRF_DATA[[#This Row],[ELIGIBILITY_BASIS]]="",$U56&lt;0),"",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6" s="125"/>
      <c r="AN56" s="29" t="str">
        <f>IF(AND(TBL_FRF_DATA[[#This Row],[ORGANIZATION_TYPE]]=RANGE_ORG_TYPE_NONPROFIT,TBL_FRF_DATA[[#This Row],[NP_ANNUAL_OP_BUDGET]]&lt;&gt;""),IF(TBL_FRF_DATA[[#This Row],[NP_ANNUAL_OP_BUDGET]]&lt;NP_ANNUAL_OPBUDGET_THRESHOLD_ELIGIBILITY,"Yes","No"),"")</f>
        <v/>
      </c>
      <c r="AO56" s="179" t="str">
        <f>IF(TBL_FRF_DATA[[#This Row],[RECORD_STARTED]],"1/1/2019","")</f>
        <v/>
      </c>
      <c r="AP56" s="124"/>
      <c r="AQ56" s="147" t="str">
        <f>IF(TBL_FRF_DATA[[#This Row],[REVENUE_2019_PERIOD_START]]="","",DATE(YEAR(TBL_FRF_DATA[[#This Row],[REVENUE_2019_PERIOD_START]])+1,MONTH(TBL_FRF_DATA[[#This Row],[REVENUE_2019_PERIOD_START]]),DAY(TBL_FRF_DATA[[#This Row],[REVENUE_2019_PERIOD_START]])))</f>
        <v/>
      </c>
      <c r="AR56" s="124"/>
      <c r="AS56" s="130" t="str">
        <f>IF(AND(TBL_FRF_DATA[[#This Row],[REVENUE_2019_AMT]]&lt;&gt;"",TBL_FRF_DATA[[#This Row],[REVENUE_2020_AMT]]&lt;&gt;""),(TBL_FRF_DATA[[#This Row],[REVENUE_2019_AMT]]-TBL_FRF_DATA[[#This Row],[REVENUE_2020_AMT]])/TBL_FRF_DATA[[#This Row],[REVENUE_2019_AMT]],"")</f>
        <v/>
      </c>
      <c r="AT56" s="129" t="str">
        <f>IF(TBL_FRF_DATA[[#This Row],[REVENUE_PCT_CHANGE]]&lt;&gt;"",IF(TBL_FRF_DATA[[#This Row],[REVENUE_PCT_CHANGE]]&gt;=REVENUE_DECLINE_THRESHOLD_ELIGIBILITY,"Yes","No"),"")</f>
        <v/>
      </c>
      <c r="AU56" s="115" t="str">
        <f>IF(TBL_FRF_DATA[[#This Row],[ELIGIBILITY_BASIS]]="","",IF(TBL_FRF_DATA[[#This Row],[ELIGIBILITY_BASIS]]=ELIG_BASIS_ANNUAL_RECEIPTS,IF(TBL_FRF_DATA[[#This Row],[ANNUAL_RECEIPTS]]="","",TBL_FRF_DATA[[#This Row],[ANNUAL_RECEIPTS]]),IF(TBL_FRF_DATA[[#This Row],[NUMBER_EMPLOYEES]]="","",TBL_FRF_DATA[[#This Row],[NUMBER_EMPLOYEES]])))</f>
        <v/>
      </c>
      <c r="AV56" s="106"/>
      <c r="AW56" s="64" t="str">
        <f>IF(OR(TBL_FRF_DATA[[#This Row],[SBA_ELIGIBILITY_BUSACTUAL_VALUE]]="",TBL_FRF_DATA[[#This Row],[SBA_ELIGIBILITY_MAX_VALUE]]=""),"",IF(TBL_FRF_DATA[[#This Row],[SBA_ELIGIBILITY_BUSACTUAL_VALUE]]&lt;=TBL_FRF_DATA[[#This Row],[SBA_ELIGIBILITY_MAX_VALUE]],"Yes","No"))</f>
        <v/>
      </c>
      <c r="AX56" s="65"/>
      <c r="AY56" s="66"/>
      <c r="AZ56" s="67"/>
      <c r="BA56" s="68"/>
      <c r="BB56" s="85"/>
      <c r="BC56" s="69"/>
      <c r="BD56" s="67"/>
      <c r="BE56" s="68"/>
      <c r="BF56" s="70"/>
    </row>
    <row r="57" spans="2:58" s="31" customFormat="1" ht="26.25" customHeight="1" x14ac:dyDescent="0.2">
      <c r="B57"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7"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7"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7" s="29" t="b">
        <f>AND(TBL_FRF_DATA[[#This Row],[RECORD_STARTED]],(COUNTIFS(TBL_FRF_DATA[RECORD_STARTED],FALSE,TBL_FRF_DATA[ROW_ID],"&lt;"&amp;TBL_FRF_DATA[[#This Row],[ROW_ID]])&gt;0))</f>
        <v>0</v>
      </c>
      <c r="F57" s="27" t="str">
        <f>IF(TBL_FRF_DATA[[#This Row],[RECORD_STARTED]],IF(TBL_FRF_DATA[[#This Row],[ERROR_COUNT]]&gt;0,-1,IF(TBL_FRF_DATA[[#This Row],[REQ_FIELDS_POP]],1,0)),"")</f>
        <v/>
      </c>
      <c r="G57" s="35">
        <f>ROW()-ROW(TBL_FRF_DATA[[#Headers],[ROW_ID]])</f>
        <v>36</v>
      </c>
      <c r="H57" s="55">
        <f t="shared" si="4"/>
        <v>0</v>
      </c>
      <c r="I57" s="28" t="str">
        <f t="shared" si="5"/>
        <v>CV19SBRG___0_0__</v>
      </c>
      <c r="J57" s="28" t="str">
        <f t="shared" si="6"/>
        <v/>
      </c>
      <c r="K57" s="28" t="b">
        <f>OR(TBL_FRF_DATA[[#This Row],[ORGANIZATION_TYPE]]=RANGE_ORG_TYPE_NONPROFIT,TBL_FRF_DATA[[#This Row],[TRIBAL_LAND_FLAG]]=RANGE_YESNO_YES)</f>
        <v>0</v>
      </c>
      <c r="L57" s="28" t="b">
        <f>OR(TBL_FRF_DATA[[#This Row],[ADDRESS_STATE]]="PR",TBL_FRF_DATA[[#This Row],[ADDRESS_STATE]]="VI")</f>
        <v>0</v>
      </c>
      <c r="M57" s="120"/>
      <c r="N57" s="120"/>
      <c r="O57" s="118"/>
      <c r="P57" s="118"/>
      <c r="Q57" s="32"/>
      <c r="R57" s="33"/>
      <c r="S57" s="118"/>
      <c r="T57" s="32"/>
      <c r="U57" s="34"/>
      <c r="V57" s="122"/>
      <c r="W57" s="122"/>
      <c r="X57" s="122"/>
      <c r="Y57" s="114"/>
      <c r="Z57" s="122"/>
      <c r="AA57" s="122"/>
      <c r="AB57" s="126"/>
      <c r="AC57" s="112"/>
      <c r="AD57" s="112"/>
      <c r="AE57" s="126"/>
      <c r="AF57" s="92"/>
      <c r="AG57" s="112"/>
      <c r="AH57" s="98"/>
      <c r="AI57" s="109"/>
      <c r="AJ57" s="104"/>
      <c r="AK57" s="101"/>
      <c r="AL57" s="29" t="str">
        <f>IF(OR(TBL_FRF_DATA[[#This Row],[ELIGIBILITY_BASIS]]="",$U57&lt;0),"",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7" s="125"/>
      <c r="AN57" s="29" t="str">
        <f>IF(AND(TBL_FRF_DATA[[#This Row],[ORGANIZATION_TYPE]]=RANGE_ORG_TYPE_NONPROFIT,TBL_FRF_DATA[[#This Row],[NP_ANNUAL_OP_BUDGET]]&lt;&gt;""),IF(TBL_FRF_DATA[[#This Row],[NP_ANNUAL_OP_BUDGET]]&lt;NP_ANNUAL_OPBUDGET_THRESHOLD_ELIGIBILITY,"Yes","No"),"")</f>
        <v/>
      </c>
      <c r="AO57" s="179" t="str">
        <f>IF(TBL_FRF_DATA[[#This Row],[RECORD_STARTED]],"1/1/2019","")</f>
        <v/>
      </c>
      <c r="AP57" s="124"/>
      <c r="AQ57" s="147" t="str">
        <f>IF(TBL_FRF_DATA[[#This Row],[REVENUE_2019_PERIOD_START]]="","",DATE(YEAR(TBL_FRF_DATA[[#This Row],[REVENUE_2019_PERIOD_START]])+1,MONTH(TBL_FRF_DATA[[#This Row],[REVENUE_2019_PERIOD_START]]),DAY(TBL_FRF_DATA[[#This Row],[REVENUE_2019_PERIOD_START]])))</f>
        <v/>
      </c>
      <c r="AR57" s="124"/>
      <c r="AS57" s="130" t="str">
        <f>IF(AND(TBL_FRF_DATA[[#This Row],[REVENUE_2019_AMT]]&lt;&gt;"",TBL_FRF_DATA[[#This Row],[REVENUE_2020_AMT]]&lt;&gt;""),(TBL_FRF_DATA[[#This Row],[REVENUE_2019_AMT]]-TBL_FRF_DATA[[#This Row],[REVENUE_2020_AMT]])/TBL_FRF_DATA[[#This Row],[REVENUE_2019_AMT]],"")</f>
        <v/>
      </c>
      <c r="AT57" s="129" t="str">
        <f>IF(TBL_FRF_DATA[[#This Row],[REVENUE_PCT_CHANGE]]&lt;&gt;"",IF(TBL_FRF_DATA[[#This Row],[REVENUE_PCT_CHANGE]]&gt;=REVENUE_DECLINE_THRESHOLD_ELIGIBILITY,"Yes","No"),"")</f>
        <v/>
      </c>
      <c r="AU57" s="115" t="str">
        <f>IF(TBL_FRF_DATA[[#This Row],[ELIGIBILITY_BASIS]]="","",IF(TBL_FRF_DATA[[#This Row],[ELIGIBILITY_BASIS]]=ELIG_BASIS_ANNUAL_RECEIPTS,IF(TBL_FRF_DATA[[#This Row],[ANNUAL_RECEIPTS]]="","",TBL_FRF_DATA[[#This Row],[ANNUAL_RECEIPTS]]),IF(TBL_FRF_DATA[[#This Row],[NUMBER_EMPLOYEES]]="","",TBL_FRF_DATA[[#This Row],[NUMBER_EMPLOYEES]])))</f>
        <v/>
      </c>
      <c r="AV57" s="106"/>
      <c r="AW57" s="64" t="str">
        <f>IF(OR(TBL_FRF_DATA[[#This Row],[SBA_ELIGIBILITY_BUSACTUAL_VALUE]]="",TBL_FRF_DATA[[#This Row],[SBA_ELIGIBILITY_MAX_VALUE]]=""),"",IF(TBL_FRF_DATA[[#This Row],[SBA_ELIGIBILITY_BUSACTUAL_VALUE]]&lt;=TBL_FRF_DATA[[#This Row],[SBA_ELIGIBILITY_MAX_VALUE]],"Yes","No"))</f>
        <v/>
      </c>
      <c r="AX57" s="65"/>
      <c r="AY57" s="66"/>
      <c r="AZ57" s="67"/>
      <c r="BA57" s="68"/>
      <c r="BB57" s="85"/>
      <c r="BC57" s="69"/>
      <c r="BD57" s="67"/>
      <c r="BE57" s="68"/>
      <c r="BF57" s="70"/>
    </row>
    <row r="58" spans="2:58" s="31" customFormat="1" ht="26.25" customHeight="1" x14ac:dyDescent="0.2">
      <c r="B58"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8"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8"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8" s="29" t="b">
        <f>AND(TBL_FRF_DATA[[#This Row],[RECORD_STARTED]],(COUNTIFS(TBL_FRF_DATA[RECORD_STARTED],FALSE,TBL_FRF_DATA[ROW_ID],"&lt;"&amp;TBL_FRF_DATA[[#This Row],[ROW_ID]])&gt;0))</f>
        <v>0</v>
      </c>
      <c r="F58" s="27" t="str">
        <f>IF(TBL_FRF_DATA[[#This Row],[RECORD_STARTED]],IF(TBL_FRF_DATA[[#This Row],[ERROR_COUNT]]&gt;0,-1,IF(TBL_FRF_DATA[[#This Row],[REQ_FIELDS_POP]],1,0)),"")</f>
        <v/>
      </c>
      <c r="G58" s="35">
        <f>ROW()-ROW(TBL_FRF_DATA[[#Headers],[ROW_ID]])</f>
        <v>37</v>
      </c>
      <c r="H58" s="55">
        <f t="shared" si="4"/>
        <v>0</v>
      </c>
      <c r="I58" s="28" t="str">
        <f t="shared" si="5"/>
        <v>CV19SBRG___0_0__</v>
      </c>
      <c r="J58" s="28" t="str">
        <f t="shared" si="6"/>
        <v/>
      </c>
      <c r="K58" s="28" t="b">
        <f>OR(TBL_FRF_DATA[[#This Row],[ORGANIZATION_TYPE]]=RANGE_ORG_TYPE_NONPROFIT,TBL_FRF_DATA[[#This Row],[TRIBAL_LAND_FLAG]]=RANGE_YESNO_YES)</f>
        <v>0</v>
      </c>
      <c r="L58" s="28" t="b">
        <f>OR(TBL_FRF_DATA[[#This Row],[ADDRESS_STATE]]="PR",TBL_FRF_DATA[[#This Row],[ADDRESS_STATE]]="VI")</f>
        <v>0</v>
      </c>
      <c r="M58" s="120"/>
      <c r="N58" s="120"/>
      <c r="O58" s="118"/>
      <c r="P58" s="118"/>
      <c r="Q58" s="32"/>
      <c r="R58" s="33"/>
      <c r="S58" s="118"/>
      <c r="T58" s="32"/>
      <c r="U58" s="34"/>
      <c r="V58" s="122"/>
      <c r="W58" s="122"/>
      <c r="X58" s="122"/>
      <c r="Y58" s="114"/>
      <c r="Z58" s="122"/>
      <c r="AA58" s="122"/>
      <c r="AB58" s="126"/>
      <c r="AC58" s="112"/>
      <c r="AD58" s="112"/>
      <c r="AE58" s="126"/>
      <c r="AF58" s="92"/>
      <c r="AG58" s="112"/>
      <c r="AH58" s="98"/>
      <c r="AI58" s="109"/>
      <c r="AJ58" s="104"/>
      <c r="AK58" s="101"/>
      <c r="AL58" s="29" t="str">
        <f>IF(OR(TBL_FRF_DATA[[#This Row],[ELIGIBILITY_BASIS]]="",$U58&lt;0),"",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8" s="125"/>
      <c r="AN58" s="29" t="str">
        <f>IF(AND(TBL_FRF_DATA[[#This Row],[ORGANIZATION_TYPE]]=RANGE_ORG_TYPE_NONPROFIT,TBL_FRF_DATA[[#This Row],[NP_ANNUAL_OP_BUDGET]]&lt;&gt;""),IF(TBL_FRF_DATA[[#This Row],[NP_ANNUAL_OP_BUDGET]]&lt;NP_ANNUAL_OPBUDGET_THRESHOLD_ELIGIBILITY,"Yes","No"),"")</f>
        <v/>
      </c>
      <c r="AO58" s="179" t="str">
        <f>IF(TBL_FRF_DATA[[#This Row],[RECORD_STARTED]],"1/1/2019","")</f>
        <v/>
      </c>
      <c r="AP58" s="124"/>
      <c r="AQ58" s="147" t="str">
        <f>IF(TBL_FRF_DATA[[#This Row],[REVENUE_2019_PERIOD_START]]="","",DATE(YEAR(TBL_FRF_DATA[[#This Row],[REVENUE_2019_PERIOD_START]])+1,MONTH(TBL_FRF_DATA[[#This Row],[REVENUE_2019_PERIOD_START]]),DAY(TBL_FRF_DATA[[#This Row],[REVENUE_2019_PERIOD_START]])))</f>
        <v/>
      </c>
      <c r="AR58" s="124"/>
      <c r="AS58" s="130" t="str">
        <f>IF(AND(TBL_FRF_DATA[[#This Row],[REVENUE_2019_AMT]]&lt;&gt;"",TBL_FRF_DATA[[#This Row],[REVENUE_2020_AMT]]&lt;&gt;""),(TBL_FRF_DATA[[#This Row],[REVENUE_2019_AMT]]-TBL_FRF_DATA[[#This Row],[REVENUE_2020_AMT]])/TBL_FRF_DATA[[#This Row],[REVENUE_2019_AMT]],"")</f>
        <v/>
      </c>
      <c r="AT58" s="129" t="str">
        <f>IF(TBL_FRF_DATA[[#This Row],[REVENUE_PCT_CHANGE]]&lt;&gt;"",IF(TBL_FRF_DATA[[#This Row],[REVENUE_PCT_CHANGE]]&gt;=REVENUE_DECLINE_THRESHOLD_ELIGIBILITY,"Yes","No"),"")</f>
        <v/>
      </c>
      <c r="AU58" s="115" t="str">
        <f>IF(TBL_FRF_DATA[[#This Row],[ELIGIBILITY_BASIS]]="","",IF(TBL_FRF_DATA[[#This Row],[ELIGIBILITY_BASIS]]=ELIG_BASIS_ANNUAL_RECEIPTS,IF(TBL_FRF_DATA[[#This Row],[ANNUAL_RECEIPTS]]="","",TBL_FRF_DATA[[#This Row],[ANNUAL_RECEIPTS]]),IF(TBL_FRF_DATA[[#This Row],[NUMBER_EMPLOYEES]]="","",TBL_FRF_DATA[[#This Row],[NUMBER_EMPLOYEES]])))</f>
        <v/>
      </c>
      <c r="AV58" s="106"/>
      <c r="AW58" s="64" t="str">
        <f>IF(OR(TBL_FRF_DATA[[#This Row],[SBA_ELIGIBILITY_BUSACTUAL_VALUE]]="",TBL_FRF_DATA[[#This Row],[SBA_ELIGIBILITY_MAX_VALUE]]=""),"",IF(TBL_FRF_DATA[[#This Row],[SBA_ELIGIBILITY_BUSACTUAL_VALUE]]&lt;=TBL_FRF_DATA[[#This Row],[SBA_ELIGIBILITY_MAX_VALUE]],"Yes","No"))</f>
        <v/>
      </c>
      <c r="AX58" s="65"/>
      <c r="AY58" s="66"/>
      <c r="AZ58" s="67"/>
      <c r="BA58" s="68"/>
      <c r="BB58" s="85"/>
      <c r="BC58" s="69"/>
      <c r="BD58" s="67"/>
      <c r="BE58" s="68"/>
      <c r="BF58" s="70"/>
    </row>
    <row r="59" spans="2:58" s="31" customFormat="1" ht="26.25" customHeight="1" x14ac:dyDescent="0.2">
      <c r="B59"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59"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59"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59" s="29" t="b">
        <f>AND(TBL_FRF_DATA[[#This Row],[RECORD_STARTED]],(COUNTIFS(TBL_FRF_DATA[RECORD_STARTED],FALSE,TBL_FRF_DATA[ROW_ID],"&lt;"&amp;TBL_FRF_DATA[[#This Row],[ROW_ID]])&gt;0))</f>
        <v>0</v>
      </c>
      <c r="F59" s="27" t="str">
        <f>IF(TBL_FRF_DATA[[#This Row],[RECORD_STARTED]],IF(TBL_FRF_DATA[[#This Row],[ERROR_COUNT]]&gt;0,-1,IF(TBL_FRF_DATA[[#This Row],[REQ_FIELDS_POP]],1,0)),"")</f>
        <v/>
      </c>
      <c r="G59" s="35">
        <f>ROW()-ROW(TBL_FRF_DATA[[#Headers],[ROW_ID]])</f>
        <v>38</v>
      </c>
      <c r="H59" s="55">
        <f t="shared" si="4"/>
        <v>0</v>
      </c>
      <c r="I59" s="28" t="str">
        <f t="shared" si="5"/>
        <v>CV19SBRG___0_0__</v>
      </c>
      <c r="J59" s="28" t="str">
        <f t="shared" si="6"/>
        <v/>
      </c>
      <c r="K59" s="28" t="b">
        <f>OR(TBL_FRF_DATA[[#This Row],[ORGANIZATION_TYPE]]=RANGE_ORG_TYPE_NONPROFIT,TBL_FRF_DATA[[#This Row],[TRIBAL_LAND_FLAG]]=RANGE_YESNO_YES)</f>
        <v>0</v>
      </c>
      <c r="L59" s="28" t="b">
        <f>OR(TBL_FRF_DATA[[#This Row],[ADDRESS_STATE]]="PR",TBL_FRF_DATA[[#This Row],[ADDRESS_STATE]]="VI")</f>
        <v>0</v>
      </c>
      <c r="M59" s="120"/>
      <c r="N59" s="120"/>
      <c r="O59" s="118"/>
      <c r="P59" s="118"/>
      <c r="Q59" s="32"/>
      <c r="R59" s="33"/>
      <c r="S59" s="118"/>
      <c r="T59" s="32"/>
      <c r="U59" s="34"/>
      <c r="V59" s="122"/>
      <c r="W59" s="122"/>
      <c r="X59" s="122"/>
      <c r="Y59" s="114"/>
      <c r="Z59" s="122"/>
      <c r="AA59" s="122"/>
      <c r="AB59" s="126"/>
      <c r="AC59" s="112"/>
      <c r="AD59" s="112"/>
      <c r="AE59" s="126"/>
      <c r="AF59" s="92"/>
      <c r="AG59" s="112"/>
      <c r="AH59" s="98"/>
      <c r="AI59" s="109"/>
      <c r="AJ59" s="104"/>
      <c r="AK59" s="101"/>
      <c r="AL59" s="29" t="str">
        <f>IF(OR(TBL_FRF_DATA[[#This Row],[ELIGIBILITY_BASIS]]="",$U59&lt;0),"",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59" s="125"/>
      <c r="AN59" s="29" t="str">
        <f>IF(AND(TBL_FRF_DATA[[#This Row],[ORGANIZATION_TYPE]]=RANGE_ORG_TYPE_NONPROFIT,TBL_FRF_DATA[[#This Row],[NP_ANNUAL_OP_BUDGET]]&lt;&gt;""),IF(TBL_FRF_DATA[[#This Row],[NP_ANNUAL_OP_BUDGET]]&lt;NP_ANNUAL_OPBUDGET_THRESHOLD_ELIGIBILITY,"Yes","No"),"")</f>
        <v/>
      </c>
      <c r="AO59" s="179" t="str">
        <f>IF(TBL_FRF_DATA[[#This Row],[RECORD_STARTED]],"1/1/2019","")</f>
        <v/>
      </c>
      <c r="AP59" s="124"/>
      <c r="AQ59" s="147" t="str">
        <f>IF(TBL_FRF_DATA[[#This Row],[REVENUE_2019_PERIOD_START]]="","",DATE(YEAR(TBL_FRF_DATA[[#This Row],[REVENUE_2019_PERIOD_START]])+1,MONTH(TBL_FRF_DATA[[#This Row],[REVENUE_2019_PERIOD_START]]),DAY(TBL_FRF_DATA[[#This Row],[REVENUE_2019_PERIOD_START]])))</f>
        <v/>
      </c>
      <c r="AR59" s="124"/>
      <c r="AS59" s="130" t="str">
        <f>IF(AND(TBL_FRF_DATA[[#This Row],[REVENUE_2019_AMT]]&lt;&gt;"",TBL_FRF_DATA[[#This Row],[REVENUE_2020_AMT]]&lt;&gt;""),(TBL_FRF_DATA[[#This Row],[REVENUE_2019_AMT]]-TBL_FRF_DATA[[#This Row],[REVENUE_2020_AMT]])/TBL_FRF_DATA[[#This Row],[REVENUE_2019_AMT]],"")</f>
        <v/>
      </c>
      <c r="AT59" s="129" t="str">
        <f>IF(TBL_FRF_DATA[[#This Row],[REVENUE_PCT_CHANGE]]&lt;&gt;"",IF(TBL_FRF_DATA[[#This Row],[REVENUE_PCT_CHANGE]]&gt;=REVENUE_DECLINE_THRESHOLD_ELIGIBILITY,"Yes","No"),"")</f>
        <v/>
      </c>
      <c r="AU59" s="115" t="str">
        <f>IF(TBL_FRF_DATA[[#This Row],[ELIGIBILITY_BASIS]]="","",IF(TBL_FRF_DATA[[#This Row],[ELIGIBILITY_BASIS]]=ELIG_BASIS_ANNUAL_RECEIPTS,IF(TBL_FRF_DATA[[#This Row],[ANNUAL_RECEIPTS]]="","",TBL_FRF_DATA[[#This Row],[ANNUAL_RECEIPTS]]),IF(TBL_FRF_DATA[[#This Row],[NUMBER_EMPLOYEES]]="","",TBL_FRF_DATA[[#This Row],[NUMBER_EMPLOYEES]])))</f>
        <v/>
      </c>
      <c r="AV59" s="106"/>
      <c r="AW59" s="64" t="str">
        <f>IF(OR(TBL_FRF_DATA[[#This Row],[SBA_ELIGIBILITY_BUSACTUAL_VALUE]]="",TBL_FRF_DATA[[#This Row],[SBA_ELIGIBILITY_MAX_VALUE]]=""),"",IF(TBL_FRF_DATA[[#This Row],[SBA_ELIGIBILITY_BUSACTUAL_VALUE]]&lt;=TBL_FRF_DATA[[#This Row],[SBA_ELIGIBILITY_MAX_VALUE]],"Yes","No"))</f>
        <v/>
      </c>
      <c r="AX59" s="65"/>
      <c r="AY59" s="66"/>
      <c r="AZ59" s="67"/>
      <c r="BA59" s="68"/>
      <c r="BB59" s="85"/>
      <c r="BC59" s="69"/>
      <c r="BD59" s="67"/>
      <c r="BE59" s="68"/>
      <c r="BF59" s="70"/>
    </row>
    <row r="60" spans="2:58" s="31" customFormat="1" ht="26.25" customHeight="1" x14ac:dyDescent="0.2">
      <c r="B60"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0"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0"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0" s="29" t="b">
        <f>AND(TBL_FRF_DATA[[#This Row],[RECORD_STARTED]],(COUNTIFS(TBL_FRF_DATA[RECORD_STARTED],FALSE,TBL_FRF_DATA[ROW_ID],"&lt;"&amp;TBL_FRF_DATA[[#This Row],[ROW_ID]])&gt;0))</f>
        <v>0</v>
      </c>
      <c r="F60" s="27" t="str">
        <f>IF(TBL_FRF_DATA[[#This Row],[RECORD_STARTED]],IF(TBL_FRF_DATA[[#This Row],[ERROR_COUNT]]&gt;0,-1,IF(TBL_FRF_DATA[[#This Row],[REQ_FIELDS_POP]],1,0)),"")</f>
        <v/>
      </c>
      <c r="G60" s="35">
        <f>ROW()-ROW(TBL_FRF_DATA[[#Headers],[ROW_ID]])</f>
        <v>39</v>
      </c>
      <c r="H60" s="55">
        <f t="shared" si="4"/>
        <v>0</v>
      </c>
      <c r="I60" s="28" t="str">
        <f t="shared" si="5"/>
        <v>CV19SBRG___0_0__</v>
      </c>
      <c r="J60" s="28" t="str">
        <f t="shared" si="6"/>
        <v/>
      </c>
      <c r="K60" s="28" t="b">
        <f>OR(TBL_FRF_DATA[[#This Row],[ORGANIZATION_TYPE]]=RANGE_ORG_TYPE_NONPROFIT,TBL_FRF_DATA[[#This Row],[TRIBAL_LAND_FLAG]]=RANGE_YESNO_YES)</f>
        <v>0</v>
      </c>
      <c r="L60" s="28" t="b">
        <f>OR(TBL_FRF_DATA[[#This Row],[ADDRESS_STATE]]="PR",TBL_FRF_DATA[[#This Row],[ADDRESS_STATE]]="VI")</f>
        <v>0</v>
      </c>
      <c r="M60" s="120"/>
      <c r="N60" s="120"/>
      <c r="O60" s="118"/>
      <c r="P60" s="118"/>
      <c r="Q60" s="32"/>
      <c r="R60" s="33"/>
      <c r="S60" s="118"/>
      <c r="T60" s="32"/>
      <c r="U60" s="34"/>
      <c r="V60" s="122"/>
      <c r="W60" s="122"/>
      <c r="X60" s="122"/>
      <c r="Y60" s="114"/>
      <c r="Z60" s="122"/>
      <c r="AA60" s="122"/>
      <c r="AB60" s="126"/>
      <c r="AC60" s="112"/>
      <c r="AD60" s="112"/>
      <c r="AE60" s="126"/>
      <c r="AF60" s="92"/>
      <c r="AG60" s="112"/>
      <c r="AH60" s="98"/>
      <c r="AI60" s="109"/>
      <c r="AJ60" s="104"/>
      <c r="AK60" s="101"/>
      <c r="AL60" s="29" t="str">
        <f>IF(OR(TBL_FRF_DATA[[#This Row],[ELIGIBILITY_BASIS]]="",$U60&lt;0),"",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0" s="125"/>
      <c r="AN60" s="29" t="str">
        <f>IF(AND(TBL_FRF_DATA[[#This Row],[ORGANIZATION_TYPE]]=RANGE_ORG_TYPE_NONPROFIT,TBL_FRF_DATA[[#This Row],[NP_ANNUAL_OP_BUDGET]]&lt;&gt;""),IF(TBL_FRF_DATA[[#This Row],[NP_ANNUAL_OP_BUDGET]]&lt;NP_ANNUAL_OPBUDGET_THRESHOLD_ELIGIBILITY,"Yes","No"),"")</f>
        <v/>
      </c>
      <c r="AO60" s="179" t="str">
        <f>IF(TBL_FRF_DATA[[#This Row],[RECORD_STARTED]],"1/1/2019","")</f>
        <v/>
      </c>
      <c r="AP60" s="124"/>
      <c r="AQ60" s="147" t="str">
        <f>IF(TBL_FRF_DATA[[#This Row],[REVENUE_2019_PERIOD_START]]="","",DATE(YEAR(TBL_FRF_DATA[[#This Row],[REVENUE_2019_PERIOD_START]])+1,MONTH(TBL_FRF_DATA[[#This Row],[REVENUE_2019_PERIOD_START]]),DAY(TBL_FRF_DATA[[#This Row],[REVENUE_2019_PERIOD_START]])))</f>
        <v/>
      </c>
      <c r="AR60" s="124"/>
      <c r="AS60" s="130" t="str">
        <f>IF(AND(TBL_FRF_DATA[[#This Row],[REVENUE_2019_AMT]]&lt;&gt;"",TBL_FRF_DATA[[#This Row],[REVENUE_2020_AMT]]&lt;&gt;""),(TBL_FRF_DATA[[#This Row],[REVENUE_2019_AMT]]-TBL_FRF_DATA[[#This Row],[REVENUE_2020_AMT]])/TBL_FRF_DATA[[#This Row],[REVENUE_2019_AMT]],"")</f>
        <v/>
      </c>
      <c r="AT60" s="129" t="str">
        <f>IF(TBL_FRF_DATA[[#This Row],[REVENUE_PCT_CHANGE]]&lt;&gt;"",IF(TBL_FRF_DATA[[#This Row],[REVENUE_PCT_CHANGE]]&gt;=REVENUE_DECLINE_THRESHOLD_ELIGIBILITY,"Yes","No"),"")</f>
        <v/>
      </c>
      <c r="AU60" s="115" t="str">
        <f>IF(TBL_FRF_DATA[[#This Row],[ELIGIBILITY_BASIS]]="","",IF(TBL_FRF_DATA[[#This Row],[ELIGIBILITY_BASIS]]=ELIG_BASIS_ANNUAL_RECEIPTS,IF(TBL_FRF_DATA[[#This Row],[ANNUAL_RECEIPTS]]="","",TBL_FRF_DATA[[#This Row],[ANNUAL_RECEIPTS]]),IF(TBL_FRF_DATA[[#This Row],[NUMBER_EMPLOYEES]]="","",TBL_FRF_DATA[[#This Row],[NUMBER_EMPLOYEES]])))</f>
        <v/>
      </c>
      <c r="AV60" s="106"/>
      <c r="AW60" s="64" t="str">
        <f>IF(OR(TBL_FRF_DATA[[#This Row],[SBA_ELIGIBILITY_BUSACTUAL_VALUE]]="",TBL_FRF_DATA[[#This Row],[SBA_ELIGIBILITY_MAX_VALUE]]=""),"",IF(TBL_FRF_DATA[[#This Row],[SBA_ELIGIBILITY_BUSACTUAL_VALUE]]&lt;=TBL_FRF_DATA[[#This Row],[SBA_ELIGIBILITY_MAX_VALUE]],"Yes","No"))</f>
        <v/>
      </c>
      <c r="AX60" s="65"/>
      <c r="AY60" s="66"/>
      <c r="AZ60" s="67"/>
      <c r="BA60" s="68"/>
      <c r="BB60" s="85"/>
      <c r="BC60" s="69"/>
      <c r="BD60" s="67"/>
      <c r="BE60" s="68"/>
      <c r="BF60" s="70"/>
    </row>
    <row r="61" spans="2:58" s="31" customFormat="1" ht="26.25" customHeight="1" x14ac:dyDescent="0.2">
      <c r="B61"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1"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1"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1" s="29" t="b">
        <f>AND(TBL_FRF_DATA[[#This Row],[RECORD_STARTED]],(COUNTIFS(TBL_FRF_DATA[RECORD_STARTED],FALSE,TBL_FRF_DATA[ROW_ID],"&lt;"&amp;TBL_FRF_DATA[[#This Row],[ROW_ID]])&gt;0))</f>
        <v>0</v>
      </c>
      <c r="F61" s="27" t="str">
        <f>IF(TBL_FRF_DATA[[#This Row],[RECORD_STARTED]],IF(TBL_FRF_DATA[[#This Row],[ERROR_COUNT]]&gt;0,-1,IF(TBL_FRF_DATA[[#This Row],[REQ_FIELDS_POP]],1,0)),"")</f>
        <v/>
      </c>
      <c r="G61" s="35">
        <f>ROW()-ROW(TBL_FRF_DATA[[#Headers],[ROW_ID]])</f>
        <v>40</v>
      </c>
      <c r="H61" s="55">
        <f t="shared" si="4"/>
        <v>0</v>
      </c>
      <c r="I61" s="28" t="str">
        <f t="shared" si="5"/>
        <v>CV19SBRG___0_0__</v>
      </c>
      <c r="J61" s="28" t="str">
        <f t="shared" si="6"/>
        <v/>
      </c>
      <c r="K61" s="28" t="b">
        <f>OR(TBL_FRF_DATA[[#This Row],[ORGANIZATION_TYPE]]=RANGE_ORG_TYPE_NONPROFIT,TBL_FRF_DATA[[#This Row],[TRIBAL_LAND_FLAG]]=RANGE_YESNO_YES)</f>
        <v>0</v>
      </c>
      <c r="L61" s="28" t="b">
        <f>OR(TBL_FRF_DATA[[#This Row],[ADDRESS_STATE]]="PR",TBL_FRF_DATA[[#This Row],[ADDRESS_STATE]]="VI")</f>
        <v>0</v>
      </c>
      <c r="M61" s="120"/>
      <c r="N61" s="120"/>
      <c r="O61" s="118"/>
      <c r="P61" s="118"/>
      <c r="Q61" s="32"/>
      <c r="R61" s="33"/>
      <c r="S61" s="118"/>
      <c r="T61" s="32"/>
      <c r="U61" s="34"/>
      <c r="V61" s="122"/>
      <c r="W61" s="122"/>
      <c r="X61" s="122"/>
      <c r="Y61" s="114"/>
      <c r="Z61" s="122"/>
      <c r="AA61" s="122"/>
      <c r="AB61" s="126"/>
      <c r="AC61" s="112"/>
      <c r="AD61" s="112"/>
      <c r="AE61" s="126"/>
      <c r="AF61" s="92"/>
      <c r="AG61" s="112"/>
      <c r="AH61" s="98"/>
      <c r="AI61" s="109"/>
      <c r="AJ61" s="104"/>
      <c r="AK61" s="101"/>
      <c r="AL61" s="29" t="str">
        <f>IF(OR(TBL_FRF_DATA[[#This Row],[ELIGIBILITY_BASIS]]="",$U61&lt;0),"",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1" s="125"/>
      <c r="AN61" s="29" t="str">
        <f>IF(AND(TBL_FRF_DATA[[#This Row],[ORGANIZATION_TYPE]]=RANGE_ORG_TYPE_NONPROFIT,TBL_FRF_DATA[[#This Row],[NP_ANNUAL_OP_BUDGET]]&lt;&gt;""),IF(TBL_FRF_DATA[[#This Row],[NP_ANNUAL_OP_BUDGET]]&lt;NP_ANNUAL_OPBUDGET_THRESHOLD_ELIGIBILITY,"Yes","No"),"")</f>
        <v/>
      </c>
      <c r="AO61" s="179" t="str">
        <f>IF(TBL_FRF_DATA[[#This Row],[RECORD_STARTED]],"1/1/2019","")</f>
        <v/>
      </c>
      <c r="AP61" s="124"/>
      <c r="AQ61" s="147" t="str">
        <f>IF(TBL_FRF_DATA[[#This Row],[REVENUE_2019_PERIOD_START]]="","",DATE(YEAR(TBL_FRF_DATA[[#This Row],[REVENUE_2019_PERIOD_START]])+1,MONTH(TBL_FRF_DATA[[#This Row],[REVENUE_2019_PERIOD_START]]),DAY(TBL_FRF_DATA[[#This Row],[REVENUE_2019_PERIOD_START]])))</f>
        <v/>
      </c>
      <c r="AR61" s="124"/>
      <c r="AS61" s="130" t="str">
        <f>IF(AND(TBL_FRF_DATA[[#This Row],[REVENUE_2019_AMT]]&lt;&gt;"",TBL_FRF_DATA[[#This Row],[REVENUE_2020_AMT]]&lt;&gt;""),(TBL_FRF_DATA[[#This Row],[REVENUE_2019_AMT]]-TBL_FRF_DATA[[#This Row],[REVENUE_2020_AMT]])/TBL_FRF_DATA[[#This Row],[REVENUE_2019_AMT]],"")</f>
        <v/>
      </c>
      <c r="AT61" s="129" t="str">
        <f>IF(TBL_FRF_DATA[[#This Row],[REVENUE_PCT_CHANGE]]&lt;&gt;"",IF(TBL_FRF_DATA[[#This Row],[REVENUE_PCT_CHANGE]]&gt;=REVENUE_DECLINE_THRESHOLD_ELIGIBILITY,"Yes","No"),"")</f>
        <v/>
      </c>
      <c r="AU61" s="115" t="str">
        <f>IF(TBL_FRF_DATA[[#This Row],[ELIGIBILITY_BASIS]]="","",IF(TBL_FRF_DATA[[#This Row],[ELIGIBILITY_BASIS]]=ELIG_BASIS_ANNUAL_RECEIPTS,IF(TBL_FRF_DATA[[#This Row],[ANNUAL_RECEIPTS]]="","",TBL_FRF_DATA[[#This Row],[ANNUAL_RECEIPTS]]),IF(TBL_FRF_DATA[[#This Row],[NUMBER_EMPLOYEES]]="","",TBL_FRF_DATA[[#This Row],[NUMBER_EMPLOYEES]])))</f>
        <v/>
      </c>
      <c r="AV61" s="106"/>
      <c r="AW61" s="64" t="str">
        <f>IF(OR(TBL_FRF_DATA[[#This Row],[SBA_ELIGIBILITY_BUSACTUAL_VALUE]]="",TBL_FRF_DATA[[#This Row],[SBA_ELIGIBILITY_MAX_VALUE]]=""),"",IF(TBL_FRF_DATA[[#This Row],[SBA_ELIGIBILITY_BUSACTUAL_VALUE]]&lt;=TBL_FRF_DATA[[#This Row],[SBA_ELIGIBILITY_MAX_VALUE]],"Yes","No"))</f>
        <v/>
      </c>
      <c r="AX61" s="65"/>
      <c r="AY61" s="66"/>
      <c r="AZ61" s="67"/>
      <c r="BA61" s="68"/>
      <c r="BB61" s="85"/>
      <c r="BC61" s="69"/>
      <c r="BD61" s="67"/>
      <c r="BE61" s="68"/>
      <c r="BF61" s="70"/>
    </row>
    <row r="62" spans="2:58" s="31" customFormat="1" ht="26.25" customHeight="1" x14ac:dyDescent="0.2">
      <c r="B62"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2"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2"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2" s="29" t="b">
        <f>AND(TBL_FRF_DATA[[#This Row],[RECORD_STARTED]],(COUNTIFS(TBL_FRF_DATA[RECORD_STARTED],FALSE,TBL_FRF_DATA[ROW_ID],"&lt;"&amp;TBL_FRF_DATA[[#This Row],[ROW_ID]])&gt;0))</f>
        <v>0</v>
      </c>
      <c r="F62" s="27" t="str">
        <f>IF(TBL_FRF_DATA[[#This Row],[RECORD_STARTED]],IF(TBL_FRF_DATA[[#This Row],[ERROR_COUNT]]&gt;0,-1,IF(TBL_FRF_DATA[[#This Row],[REQ_FIELDS_POP]],1,0)),"")</f>
        <v/>
      </c>
      <c r="G62" s="35">
        <f>ROW()-ROW(TBL_FRF_DATA[[#Headers],[ROW_ID]])</f>
        <v>41</v>
      </c>
      <c r="H62" s="55">
        <f t="shared" si="4"/>
        <v>0</v>
      </c>
      <c r="I62" s="28" t="str">
        <f t="shared" si="5"/>
        <v>CV19SBRG___0_0__</v>
      </c>
      <c r="J62" s="28" t="str">
        <f t="shared" si="6"/>
        <v/>
      </c>
      <c r="K62" s="28" t="b">
        <f>OR(TBL_FRF_DATA[[#This Row],[ORGANIZATION_TYPE]]=RANGE_ORG_TYPE_NONPROFIT,TBL_FRF_DATA[[#This Row],[TRIBAL_LAND_FLAG]]=RANGE_YESNO_YES)</f>
        <v>0</v>
      </c>
      <c r="L62" s="28" t="b">
        <f>OR(TBL_FRF_DATA[[#This Row],[ADDRESS_STATE]]="PR",TBL_FRF_DATA[[#This Row],[ADDRESS_STATE]]="VI")</f>
        <v>0</v>
      </c>
      <c r="M62" s="120"/>
      <c r="N62" s="120"/>
      <c r="O62" s="118"/>
      <c r="P62" s="118"/>
      <c r="Q62" s="32"/>
      <c r="R62" s="33"/>
      <c r="S62" s="118"/>
      <c r="T62" s="32"/>
      <c r="U62" s="34"/>
      <c r="V62" s="122"/>
      <c r="W62" s="122"/>
      <c r="X62" s="122"/>
      <c r="Y62" s="114"/>
      <c r="Z62" s="122"/>
      <c r="AA62" s="122"/>
      <c r="AB62" s="126"/>
      <c r="AC62" s="112"/>
      <c r="AD62" s="112"/>
      <c r="AE62" s="126"/>
      <c r="AF62" s="92"/>
      <c r="AG62" s="112"/>
      <c r="AH62" s="98"/>
      <c r="AI62" s="109"/>
      <c r="AJ62" s="104"/>
      <c r="AK62" s="101"/>
      <c r="AL62" s="29" t="str">
        <f>IF(OR(TBL_FRF_DATA[[#This Row],[ELIGIBILITY_BASIS]]="",$U62&lt;0),"",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2" s="125"/>
      <c r="AN62" s="29" t="str">
        <f>IF(AND(TBL_FRF_DATA[[#This Row],[ORGANIZATION_TYPE]]=RANGE_ORG_TYPE_NONPROFIT,TBL_FRF_DATA[[#This Row],[NP_ANNUAL_OP_BUDGET]]&lt;&gt;""),IF(TBL_FRF_DATA[[#This Row],[NP_ANNUAL_OP_BUDGET]]&lt;NP_ANNUAL_OPBUDGET_THRESHOLD_ELIGIBILITY,"Yes","No"),"")</f>
        <v/>
      </c>
      <c r="AO62" s="179" t="str">
        <f>IF(TBL_FRF_DATA[[#This Row],[RECORD_STARTED]],"1/1/2019","")</f>
        <v/>
      </c>
      <c r="AP62" s="124"/>
      <c r="AQ62" s="147" t="str">
        <f>IF(TBL_FRF_DATA[[#This Row],[REVENUE_2019_PERIOD_START]]="","",DATE(YEAR(TBL_FRF_DATA[[#This Row],[REVENUE_2019_PERIOD_START]])+1,MONTH(TBL_FRF_DATA[[#This Row],[REVENUE_2019_PERIOD_START]]),DAY(TBL_FRF_DATA[[#This Row],[REVENUE_2019_PERIOD_START]])))</f>
        <v/>
      </c>
      <c r="AR62" s="124"/>
      <c r="AS62" s="130" t="str">
        <f>IF(AND(TBL_FRF_DATA[[#This Row],[REVENUE_2019_AMT]]&lt;&gt;"",TBL_FRF_DATA[[#This Row],[REVENUE_2020_AMT]]&lt;&gt;""),(TBL_FRF_DATA[[#This Row],[REVENUE_2019_AMT]]-TBL_FRF_DATA[[#This Row],[REVENUE_2020_AMT]])/TBL_FRF_DATA[[#This Row],[REVENUE_2019_AMT]],"")</f>
        <v/>
      </c>
      <c r="AT62" s="129" t="str">
        <f>IF(TBL_FRF_DATA[[#This Row],[REVENUE_PCT_CHANGE]]&lt;&gt;"",IF(TBL_FRF_DATA[[#This Row],[REVENUE_PCT_CHANGE]]&gt;=REVENUE_DECLINE_THRESHOLD_ELIGIBILITY,"Yes","No"),"")</f>
        <v/>
      </c>
      <c r="AU62" s="115" t="str">
        <f>IF(TBL_FRF_DATA[[#This Row],[ELIGIBILITY_BASIS]]="","",IF(TBL_FRF_DATA[[#This Row],[ELIGIBILITY_BASIS]]=ELIG_BASIS_ANNUAL_RECEIPTS,IF(TBL_FRF_DATA[[#This Row],[ANNUAL_RECEIPTS]]="","",TBL_FRF_DATA[[#This Row],[ANNUAL_RECEIPTS]]),IF(TBL_FRF_DATA[[#This Row],[NUMBER_EMPLOYEES]]="","",TBL_FRF_DATA[[#This Row],[NUMBER_EMPLOYEES]])))</f>
        <v/>
      </c>
      <c r="AV62" s="106"/>
      <c r="AW62" s="64" t="str">
        <f>IF(OR(TBL_FRF_DATA[[#This Row],[SBA_ELIGIBILITY_BUSACTUAL_VALUE]]="",TBL_FRF_DATA[[#This Row],[SBA_ELIGIBILITY_MAX_VALUE]]=""),"",IF(TBL_FRF_DATA[[#This Row],[SBA_ELIGIBILITY_BUSACTUAL_VALUE]]&lt;=TBL_FRF_DATA[[#This Row],[SBA_ELIGIBILITY_MAX_VALUE]],"Yes","No"))</f>
        <v/>
      </c>
      <c r="AX62" s="65"/>
      <c r="AY62" s="66"/>
      <c r="AZ62" s="67"/>
      <c r="BA62" s="68"/>
      <c r="BB62" s="85"/>
      <c r="BC62" s="69"/>
      <c r="BD62" s="67"/>
      <c r="BE62" s="68"/>
      <c r="BF62" s="70"/>
    </row>
    <row r="63" spans="2:58" s="31" customFormat="1" ht="26.25" customHeight="1" x14ac:dyDescent="0.2">
      <c r="B63"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3"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3"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3" s="29" t="b">
        <f>AND(TBL_FRF_DATA[[#This Row],[RECORD_STARTED]],(COUNTIFS(TBL_FRF_DATA[RECORD_STARTED],FALSE,TBL_FRF_DATA[ROW_ID],"&lt;"&amp;TBL_FRF_DATA[[#This Row],[ROW_ID]])&gt;0))</f>
        <v>0</v>
      </c>
      <c r="F63" s="27" t="str">
        <f>IF(TBL_FRF_DATA[[#This Row],[RECORD_STARTED]],IF(TBL_FRF_DATA[[#This Row],[ERROR_COUNT]]&gt;0,-1,IF(TBL_FRF_DATA[[#This Row],[REQ_FIELDS_POP]],1,0)),"")</f>
        <v/>
      </c>
      <c r="G63" s="35">
        <f>ROW()-ROW(TBL_FRF_DATA[[#Headers],[ROW_ID]])</f>
        <v>42</v>
      </c>
      <c r="H63" s="55">
        <f t="shared" si="4"/>
        <v>0</v>
      </c>
      <c r="I63" s="28" t="str">
        <f t="shared" si="5"/>
        <v>CV19SBRG___0_0__</v>
      </c>
      <c r="J63" s="28" t="str">
        <f t="shared" si="6"/>
        <v/>
      </c>
      <c r="K63" s="28" t="b">
        <f>OR(TBL_FRF_DATA[[#This Row],[ORGANIZATION_TYPE]]=RANGE_ORG_TYPE_NONPROFIT,TBL_FRF_DATA[[#This Row],[TRIBAL_LAND_FLAG]]=RANGE_YESNO_YES)</f>
        <v>0</v>
      </c>
      <c r="L63" s="28" t="b">
        <f>OR(TBL_FRF_DATA[[#This Row],[ADDRESS_STATE]]="PR",TBL_FRF_DATA[[#This Row],[ADDRESS_STATE]]="VI")</f>
        <v>0</v>
      </c>
      <c r="M63" s="120"/>
      <c r="N63" s="120"/>
      <c r="O63" s="118"/>
      <c r="P63" s="118"/>
      <c r="Q63" s="32"/>
      <c r="R63" s="33"/>
      <c r="S63" s="118"/>
      <c r="T63" s="32"/>
      <c r="U63" s="34"/>
      <c r="V63" s="122"/>
      <c r="W63" s="122"/>
      <c r="X63" s="122"/>
      <c r="Y63" s="114"/>
      <c r="Z63" s="122"/>
      <c r="AA63" s="122"/>
      <c r="AB63" s="126"/>
      <c r="AC63" s="112"/>
      <c r="AD63" s="112"/>
      <c r="AE63" s="126"/>
      <c r="AF63" s="92"/>
      <c r="AG63" s="112"/>
      <c r="AH63" s="98"/>
      <c r="AI63" s="109"/>
      <c r="AJ63" s="104"/>
      <c r="AK63" s="101"/>
      <c r="AL63" s="29" t="str">
        <f>IF(OR(TBL_FRF_DATA[[#This Row],[ELIGIBILITY_BASIS]]="",$U63&lt;0),"",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3" s="125"/>
      <c r="AN63" s="29" t="str">
        <f>IF(AND(TBL_FRF_DATA[[#This Row],[ORGANIZATION_TYPE]]=RANGE_ORG_TYPE_NONPROFIT,TBL_FRF_DATA[[#This Row],[NP_ANNUAL_OP_BUDGET]]&lt;&gt;""),IF(TBL_FRF_DATA[[#This Row],[NP_ANNUAL_OP_BUDGET]]&lt;NP_ANNUAL_OPBUDGET_THRESHOLD_ELIGIBILITY,"Yes","No"),"")</f>
        <v/>
      </c>
      <c r="AO63" s="179" t="str">
        <f>IF(TBL_FRF_DATA[[#This Row],[RECORD_STARTED]],"1/1/2019","")</f>
        <v/>
      </c>
      <c r="AP63" s="124"/>
      <c r="AQ63" s="147" t="str">
        <f>IF(TBL_FRF_DATA[[#This Row],[REVENUE_2019_PERIOD_START]]="","",DATE(YEAR(TBL_FRF_DATA[[#This Row],[REVENUE_2019_PERIOD_START]])+1,MONTH(TBL_FRF_DATA[[#This Row],[REVENUE_2019_PERIOD_START]]),DAY(TBL_FRF_DATA[[#This Row],[REVENUE_2019_PERIOD_START]])))</f>
        <v/>
      </c>
      <c r="AR63" s="124"/>
      <c r="AS63" s="130" t="str">
        <f>IF(AND(TBL_FRF_DATA[[#This Row],[REVENUE_2019_AMT]]&lt;&gt;"",TBL_FRF_DATA[[#This Row],[REVENUE_2020_AMT]]&lt;&gt;""),(TBL_FRF_DATA[[#This Row],[REVENUE_2019_AMT]]-TBL_FRF_DATA[[#This Row],[REVENUE_2020_AMT]])/TBL_FRF_DATA[[#This Row],[REVENUE_2019_AMT]],"")</f>
        <v/>
      </c>
      <c r="AT63" s="129" t="str">
        <f>IF(TBL_FRF_DATA[[#This Row],[REVENUE_PCT_CHANGE]]&lt;&gt;"",IF(TBL_FRF_DATA[[#This Row],[REVENUE_PCT_CHANGE]]&gt;=REVENUE_DECLINE_THRESHOLD_ELIGIBILITY,"Yes","No"),"")</f>
        <v/>
      </c>
      <c r="AU63" s="115" t="str">
        <f>IF(TBL_FRF_DATA[[#This Row],[ELIGIBILITY_BASIS]]="","",IF(TBL_FRF_DATA[[#This Row],[ELIGIBILITY_BASIS]]=ELIG_BASIS_ANNUAL_RECEIPTS,IF(TBL_FRF_DATA[[#This Row],[ANNUAL_RECEIPTS]]="","",TBL_FRF_DATA[[#This Row],[ANNUAL_RECEIPTS]]),IF(TBL_FRF_DATA[[#This Row],[NUMBER_EMPLOYEES]]="","",TBL_FRF_DATA[[#This Row],[NUMBER_EMPLOYEES]])))</f>
        <v/>
      </c>
      <c r="AV63" s="106"/>
      <c r="AW63" s="64" t="str">
        <f>IF(OR(TBL_FRF_DATA[[#This Row],[SBA_ELIGIBILITY_BUSACTUAL_VALUE]]="",TBL_FRF_DATA[[#This Row],[SBA_ELIGIBILITY_MAX_VALUE]]=""),"",IF(TBL_FRF_DATA[[#This Row],[SBA_ELIGIBILITY_BUSACTUAL_VALUE]]&lt;=TBL_FRF_DATA[[#This Row],[SBA_ELIGIBILITY_MAX_VALUE]],"Yes","No"))</f>
        <v/>
      </c>
      <c r="AX63" s="65"/>
      <c r="AY63" s="66"/>
      <c r="AZ63" s="67"/>
      <c r="BA63" s="68"/>
      <c r="BB63" s="85"/>
      <c r="BC63" s="69"/>
      <c r="BD63" s="67"/>
      <c r="BE63" s="68"/>
      <c r="BF63" s="70"/>
    </row>
    <row r="64" spans="2:58" s="31" customFormat="1" ht="26.25" customHeight="1" x14ac:dyDescent="0.2">
      <c r="B64"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4"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4"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4" s="29" t="b">
        <f>AND(TBL_FRF_DATA[[#This Row],[RECORD_STARTED]],(COUNTIFS(TBL_FRF_DATA[RECORD_STARTED],FALSE,TBL_FRF_DATA[ROW_ID],"&lt;"&amp;TBL_FRF_DATA[[#This Row],[ROW_ID]])&gt;0))</f>
        <v>0</v>
      </c>
      <c r="F64" s="27" t="str">
        <f>IF(TBL_FRF_DATA[[#This Row],[RECORD_STARTED]],IF(TBL_FRF_DATA[[#This Row],[ERROR_COUNT]]&gt;0,-1,IF(TBL_FRF_DATA[[#This Row],[REQ_FIELDS_POP]],1,0)),"")</f>
        <v/>
      </c>
      <c r="G64" s="35">
        <f>ROW()-ROW(TBL_FRF_DATA[[#Headers],[ROW_ID]])</f>
        <v>43</v>
      </c>
      <c r="H64" s="55">
        <f t="shared" si="4"/>
        <v>0</v>
      </c>
      <c r="I64" s="28" t="str">
        <f t="shared" si="5"/>
        <v>CV19SBRG___0_0__</v>
      </c>
      <c r="J64" s="28" t="str">
        <f t="shared" si="6"/>
        <v/>
      </c>
      <c r="K64" s="28" t="b">
        <f>OR(TBL_FRF_DATA[[#This Row],[ORGANIZATION_TYPE]]=RANGE_ORG_TYPE_NONPROFIT,TBL_FRF_DATA[[#This Row],[TRIBAL_LAND_FLAG]]=RANGE_YESNO_YES)</f>
        <v>0</v>
      </c>
      <c r="L64" s="28" t="b">
        <f>OR(TBL_FRF_DATA[[#This Row],[ADDRESS_STATE]]="PR",TBL_FRF_DATA[[#This Row],[ADDRESS_STATE]]="VI")</f>
        <v>0</v>
      </c>
      <c r="M64" s="120"/>
      <c r="N64" s="120"/>
      <c r="O64" s="118"/>
      <c r="P64" s="118"/>
      <c r="Q64" s="32"/>
      <c r="R64" s="33"/>
      <c r="S64" s="118"/>
      <c r="T64" s="32"/>
      <c r="U64" s="34"/>
      <c r="V64" s="122"/>
      <c r="W64" s="122"/>
      <c r="X64" s="122"/>
      <c r="Y64" s="114"/>
      <c r="Z64" s="122"/>
      <c r="AA64" s="122"/>
      <c r="AB64" s="126"/>
      <c r="AC64" s="112"/>
      <c r="AD64" s="112"/>
      <c r="AE64" s="126"/>
      <c r="AF64" s="92"/>
      <c r="AG64" s="112"/>
      <c r="AH64" s="98"/>
      <c r="AI64" s="109"/>
      <c r="AJ64" s="104"/>
      <c r="AK64" s="101"/>
      <c r="AL64" s="29" t="str">
        <f>IF(OR(TBL_FRF_DATA[[#This Row],[ELIGIBILITY_BASIS]]="",$U64&lt;0),"",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4" s="125"/>
      <c r="AN64" s="29" t="str">
        <f>IF(AND(TBL_FRF_DATA[[#This Row],[ORGANIZATION_TYPE]]=RANGE_ORG_TYPE_NONPROFIT,TBL_FRF_DATA[[#This Row],[NP_ANNUAL_OP_BUDGET]]&lt;&gt;""),IF(TBL_FRF_DATA[[#This Row],[NP_ANNUAL_OP_BUDGET]]&lt;NP_ANNUAL_OPBUDGET_THRESHOLD_ELIGIBILITY,"Yes","No"),"")</f>
        <v/>
      </c>
      <c r="AO64" s="179" t="str">
        <f>IF(TBL_FRF_DATA[[#This Row],[RECORD_STARTED]],"1/1/2019","")</f>
        <v/>
      </c>
      <c r="AP64" s="124"/>
      <c r="AQ64" s="147" t="str">
        <f>IF(TBL_FRF_DATA[[#This Row],[REVENUE_2019_PERIOD_START]]="","",DATE(YEAR(TBL_FRF_DATA[[#This Row],[REVENUE_2019_PERIOD_START]])+1,MONTH(TBL_FRF_DATA[[#This Row],[REVENUE_2019_PERIOD_START]]),DAY(TBL_FRF_DATA[[#This Row],[REVENUE_2019_PERIOD_START]])))</f>
        <v/>
      </c>
      <c r="AR64" s="124"/>
      <c r="AS64" s="130" t="str">
        <f>IF(AND(TBL_FRF_DATA[[#This Row],[REVENUE_2019_AMT]]&lt;&gt;"",TBL_FRF_DATA[[#This Row],[REVENUE_2020_AMT]]&lt;&gt;""),(TBL_FRF_DATA[[#This Row],[REVENUE_2019_AMT]]-TBL_FRF_DATA[[#This Row],[REVENUE_2020_AMT]])/TBL_FRF_DATA[[#This Row],[REVENUE_2019_AMT]],"")</f>
        <v/>
      </c>
      <c r="AT64" s="129" t="str">
        <f>IF(TBL_FRF_DATA[[#This Row],[REVENUE_PCT_CHANGE]]&lt;&gt;"",IF(TBL_FRF_DATA[[#This Row],[REVENUE_PCT_CHANGE]]&gt;=REVENUE_DECLINE_THRESHOLD_ELIGIBILITY,"Yes","No"),"")</f>
        <v/>
      </c>
      <c r="AU64" s="115" t="str">
        <f>IF(TBL_FRF_DATA[[#This Row],[ELIGIBILITY_BASIS]]="","",IF(TBL_FRF_DATA[[#This Row],[ELIGIBILITY_BASIS]]=ELIG_BASIS_ANNUAL_RECEIPTS,IF(TBL_FRF_DATA[[#This Row],[ANNUAL_RECEIPTS]]="","",TBL_FRF_DATA[[#This Row],[ANNUAL_RECEIPTS]]),IF(TBL_FRF_DATA[[#This Row],[NUMBER_EMPLOYEES]]="","",TBL_FRF_DATA[[#This Row],[NUMBER_EMPLOYEES]])))</f>
        <v/>
      </c>
      <c r="AV64" s="106"/>
      <c r="AW64" s="64" t="str">
        <f>IF(OR(TBL_FRF_DATA[[#This Row],[SBA_ELIGIBILITY_BUSACTUAL_VALUE]]="",TBL_FRF_DATA[[#This Row],[SBA_ELIGIBILITY_MAX_VALUE]]=""),"",IF(TBL_FRF_DATA[[#This Row],[SBA_ELIGIBILITY_BUSACTUAL_VALUE]]&lt;=TBL_FRF_DATA[[#This Row],[SBA_ELIGIBILITY_MAX_VALUE]],"Yes","No"))</f>
        <v/>
      </c>
      <c r="AX64" s="65"/>
      <c r="AY64" s="66"/>
      <c r="AZ64" s="67"/>
      <c r="BA64" s="68"/>
      <c r="BB64" s="85"/>
      <c r="BC64" s="69"/>
      <c r="BD64" s="67"/>
      <c r="BE64" s="68"/>
      <c r="BF64" s="70"/>
    </row>
    <row r="65" spans="2:58" s="31" customFormat="1" ht="26.25" customHeight="1" x14ac:dyDescent="0.2">
      <c r="B65"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5"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5"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5" s="29" t="b">
        <f>AND(TBL_FRF_DATA[[#This Row],[RECORD_STARTED]],(COUNTIFS(TBL_FRF_DATA[RECORD_STARTED],FALSE,TBL_FRF_DATA[ROW_ID],"&lt;"&amp;TBL_FRF_DATA[[#This Row],[ROW_ID]])&gt;0))</f>
        <v>0</v>
      </c>
      <c r="F65" s="27" t="str">
        <f>IF(TBL_FRF_DATA[[#This Row],[RECORD_STARTED]],IF(TBL_FRF_DATA[[#This Row],[ERROR_COUNT]]&gt;0,-1,IF(TBL_FRF_DATA[[#This Row],[REQ_FIELDS_POP]],1,0)),"")</f>
        <v/>
      </c>
      <c r="G65" s="35">
        <f>ROW()-ROW(TBL_FRF_DATA[[#Headers],[ROW_ID]])</f>
        <v>44</v>
      </c>
      <c r="H65" s="55">
        <f t="shared" si="4"/>
        <v>0</v>
      </c>
      <c r="I65" s="28" t="str">
        <f t="shared" si="5"/>
        <v>CV19SBRG___0_0__</v>
      </c>
      <c r="J65" s="28" t="str">
        <f t="shared" si="6"/>
        <v/>
      </c>
      <c r="K65" s="28" t="b">
        <f>OR(TBL_FRF_DATA[[#This Row],[ORGANIZATION_TYPE]]=RANGE_ORG_TYPE_NONPROFIT,TBL_FRF_DATA[[#This Row],[TRIBAL_LAND_FLAG]]=RANGE_YESNO_YES)</f>
        <v>0</v>
      </c>
      <c r="L65" s="28" t="b">
        <f>OR(TBL_FRF_DATA[[#This Row],[ADDRESS_STATE]]="PR",TBL_FRF_DATA[[#This Row],[ADDRESS_STATE]]="VI")</f>
        <v>0</v>
      </c>
      <c r="M65" s="120"/>
      <c r="N65" s="120"/>
      <c r="O65" s="118"/>
      <c r="P65" s="118"/>
      <c r="Q65" s="32"/>
      <c r="R65" s="33"/>
      <c r="S65" s="118"/>
      <c r="T65" s="32"/>
      <c r="U65" s="34"/>
      <c r="V65" s="122"/>
      <c r="W65" s="122"/>
      <c r="X65" s="122"/>
      <c r="Y65" s="114"/>
      <c r="Z65" s="122"/>
      <c r="AA65" s="122"/>
      <c r="AB65" s="126"/>
      <c r="AC65" s="112"/>
      <c r="AD65" s="112"/>
      <c r="AE65" s="126"/>
      <c r="AF65" s="92"/>
      <c r="AG65" s="112"/>
      <c r="AH65" s="98"/>
      <c r="AI65" s="109"/>
      <c r="AJ65" s="104"/>
      <c r="AK65" s="101"/>
      <c r="AL65" s="29" t="str">
        <f>IF(OR(TBL_FRF_DATA[[#This Row],[ELIGIBILITY_BASIS]]="",$U65&lt;0),"",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5" s="125"/>
      <c r="AN65" s="29" t="str">
        <f>IF(AND(TBL_FRF_DATA[[#This Row],[ORGANIZATION_TYPE]]=RANGE_ORG_TYPE_NONPROFIT,TBL_FRF_DATA[[#This Row],[NP_ANNUAL_OP_BUDGET]]&lt;&gt;""),IF(TBL_FRF_DATA[[#This Row],[NP_ANNUAL_OP_BUDGET]]&lt;NP_ANNUAL_OPBUDGET_THRESHOLD_ELIGIBILITY,"Yes","No"),"")</f>
        <v/>
      </c>
      <c r="AO65" s="179" t="str">
        <f>IF(TBL_FRF_DATA[[#This Row],[RECORD_STARTED]],"1/1/2019","")</f>
        <v/>
      </c>
      <c r="AP65" s="124"/>
      <c r="AQ65" s="147" t="str">
        <f>IF(TBL_FRF_DATA[[#This Row],[REVENUE_2019_PERIOD_START]]="","",DATE(YEAR(TBL_FRF_DATA[[#This Row],[REVENUE_2019_PERIOD_START]])+1,MONTH(TBL_FRF_DATA[[#This Row],[REVENUE_2019_PERIOD_START]]),DAY(TBL_FRF_DATA[[#This Row],[REVENUE_2019_PERIOD_START]])))</f>
        <v/>
      </c>
      <c r="AR65" s="124"/>
      <c r="AS65" s="130" t="str">
        <f>IF(AND(TBL_FRF_DATA[[#This Row],[REVENUE_2019_AMT]]&lt;&gt;"",TBL_FRF_DATA[[#This Row],[REVENUE_2020_AMT]]&lt;&gt;""),(TBL_FRF_DATA[[#This Row],[REVENUE_2019_AMT]]-TBL_FRF_DATA[[#This Row],[REVENUE_2020_AMT]])/TBL_FRF_DATA[[#This Row],[REVENUE_2019_AMT]],"")</f>
        <v/>
      </c>
      <c r="AT65" s="129" t="str">
        <f>IF(TBL_FRF_DATA[[#This Row],[REVENUE_PCT_CHANGE]]&lt;&gt;"",IF(TBL_FRF_DATA[[#This Row],[REVENUE_PCT_CHANGE]]&gt;=REVENUE_DECLINE_THRESHOLD_ELIGIBILITY,"Yes","No"),"")</f>
        <v/>
      </c>
      <c r="AU65" s="115" t="str">
        <f>IF(TBL_FRF_DATA[[#This Row],[ELIGIBILITY_BASIS]]="","",IF(TBL_FRF_DATA[[#This Row],[ELIGIBILITY_BASIS]]=ELIG_BASIS_ANNUAL_RECEIPTS,IF(TBL_FRF_DATA[[#This Row],[ANNUAL_RECEIPTS]]="","",TBL_FRF_DATA[[#This Row],[ANNUAL_RECEIPTS]]),IF(TBL_FRF_DATA[[#This Row],[NUMBER_EMPLOYEES]]="","",TBL_FRF_DATA[[#This Row],[NUMBER_EMPLOYEES]])))</f>
        <v/>
      </c>
      <c r="AV65" s="106"/>
      <c r="AW65" s="64" t="str">
        <f>IF(OR(TBL_FRF_DATA[[#This Row],[SBA_ELIGIBILITY_BUSACTUAL_VALUE]]="",TBL_FRF_DATA[[#This Row],[SBA_ELIGIBILITY_MAX_VALUE]]=""),"",IF(TBL_FRF_DATA[[#This Row],[SBA_ELIGIBILITY_BUSACTUAL_VALUE]]&lt;=TBL_FRF_DATA[[#This Row],[SBA_ELIGIBILITY_MAX_VALUE]],"Yes","No"))</f>
        <v/>
      </c>
      <c r="AX65" s="65"/>
      <c r="AY65" s="66"/>
      <c r="AZ65" s="67"/>
      <c r="BA65" s="68"/>
      <c r="BB65" s="85"/>
      <c r="BC65" s="69"/>
      <c r="BD65" s="67"/>
      <c r="BE65" s="68"/>
      <c r="BF65" s="70"/>
    </row>
    <row r="66" spans="2:58" s="31" customFormat="1" ht="26.25" customHeight="1" x14ac:dyDescent="0.2">
      <c r="B66"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6"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6"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6" s="29" t="b">
        <f>AND(TBL_FRF_DATA[[#This Row],[RECORD_STARTED]],(COUNTIFS(TBL_FRF_DATA[RECORD_STARTED],FALSE,TBL_FRF_DATA[ROW_ID],"&lt;"&amp;TBL_FRF_DATA[[#This Row],[ROW_ID]])&gt;0))</f>
        <v>0</v>
      </c>
      <c r="F66" s="27" t="str">
        <f>IF(TBL_FRF_DATA[[#This Row],[RECORD_STARTED]],IF(TBL_FRF_DATA[[#This Row],[ERROR_COUNT]]&gt;0,-1,IF(TBL_FRF_DATA[[#This Row],[REQ_FIELDS_POP]],1,0)),"")</f>
        <v/>
      </c>
      <c r="G66" s="35">
        <f>ROW()-ROW(TBL_FRF_DATA[[#Headers],[ROW_ID]])</f>
        <v>45</v>
      </c>
      <c r="H66" s="55">
        <f t="shared" si="4"/>
        <v>0</v>
      </c>
      <c r="I66" s="28" t="str">
        <f t="shared" si="5"/>
        <v>CV19SBRG___0_0__</v>
      </c>
      <c r="J66" s="28" t="str">
        <f t="shared" si="6"/>
        <v/>
      </c>
      <c r="K66" s="28" t="b">
        <f>OR(TBL_FRF_DATA[[#This Row],[ORGANIZATION_TYPE]]=RANGE_ORG_TYPE_NONPROFIT,TBL_FRF_DATA[[#This Row],[TRIBAL_LAND_FLAG]]=RANGE_YESNO_YES)</f>
        <v>0</v>
      </c>
      <c r="L66" s="28" t="b">
        <f>OR(TBL_FRF_DATA[[#This Row],[ADDRESS_STATE]]="PR",TBL_FRF_DATA[[#This Row],[ADDRESS_STATE]]="VI")</f>
        <v>0</v>
      </c>
      <c r="M66" s="120"/>
      <c r="N66" s="120"/>
      <c r="O66" s="118"/>
      <c r="P66" s="118"/>
      <c r="Q66" s="32"/>
      <c r="R66" s="33"/>
      <c r="S66" s="118"/>
      <c r="T66" s="32"/>
      <c r="U66" s="34"/>
      <c r="V66" s="122"/>
      <c r="W66" s="122"/>
      <c r="X66" s="122"/>
      <c r="Y66" s="114"/>
      <c r="Z66" s="122"/>
      <c r="AA66" s="122"/>
      <c r="AB66" s="126"/>
      <c r="AC66" s="112"/>
      <c r="AD66" s="112"/>
      <c r="AE66" s="126"/>
      <c r="AF66" s="92"/>
      <c r="AG66" s="112"/>
      <c r="AH66" s="98"/>
      <c r="AI66" s="109"/>
      <c r="AJ66" s="104"/>
      <c r="AK66" s="101"/>
      <c r="AL66" s="29" t="str">
        <f>IF(OR(TBL_FRF_DATA[[#This Row],[ELIGIBILITY_BASIS]]="",$U66&lt;0),"",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6" s="125"/>
      <c r="AN66" s="29" t="str">
        <f>IF(AND(TBL_FRF_DATA[[#This Row],[ORGANIZATION_TYPE]]=RANGE_ORG_TYPE_NONPROFIT,TBL_FRF_DATA[[#This Row],[NP_ANNUAL_OP_BUDGET]]&lt;&gt;""),IF(TBL_FRF_DATA[[#This Row],[NP_ANNUAL_OP_BUDGET]]&lt;NP_ANNUAL_OPBUDGET_THRESHOLD_ELIGIBILITY,"Yes","No"),"")</f>
        <v/>
      </c>
      <c r="AO66" s="179" t="str">
        <f>IF(TBL_FRF_DATA[[#This Row],[RECORD_STARTED]],"1/1/2019","")</f>
        <v/>
      </c>
      <c r="AP66" s="124"/>
      <c r="AQ66" s="147" t="str">
        <f>IF(TBL_FRF_DATA[[#This Row],[REVENUE_2019_PERIOD_START]]="","",DATE(YEAR(TBL_FRF_DATA[[#This Row],[REVENUE_2019_PERIOD_START]])+1,MONTH(TBL_FRF_DATA[[#This Row],[REVENUE_2019_PERIOD_START]]),DAY(TBL_FRF_DATA[[#This Row],[REVENUE_2019_PERIOD_START]])))</f>
        <v/>
      </c>
      <c r="AR66" s="124"/>
      <c r="AS66" s="130" t="str">
        <f>IF(AND(TBL_FRF_DATA[[#This Row],[REVENUE_2019_AMT]]&lt;&gt;"",TBL_FRF_DATA[[#This Row],[REVENUE_2020_AMT]]&lt;&gt;""),(TBL_FRF_DATA[[#This Row],[REVENUE_2019_AMT]]-TBL_FRF_DATA[[#This Row],[REVENUE_2020_AMT]])/TBL_FRF_DATA[[#This Row],[REVENUE_2019_AMT]],"")</f>
        <v/>
      </c>
      <c r="AT66" s="129" t="str">
        <f>IF(TBL_FRF_DATA[[#This Row],[REVENUE_PCT_CHANGE]]&lt;&gt;"",IF(TBL_FRF_DATA[[#This Row],[REVENUE_PCT_CHANGE]]&gt;=REVENUE_DECLINE_THRESHOLD_ELIGIBILITY,"Yes","No"),"")</f>
        <v/>
      </c>
      <c r="AU66" s="115" t="str">
        <f>IF(TBL_FRF_DATA[[#This Row],[ELIGIBILITY_BASIS]]="","",IF(TBL_FRF_DATA[[#This Row],[ELIGIBILITY_BASIS]]=ELIG_BASIS_ANNUAL_RECEIPTS,IF(TBL_FRF_DATA[[#This Row],[ANNUAL_RECEIPTS]]="","",TBL_FRF_DATA[[#This Row],[ANNUAL_RECEIPTS]]),IF(TBL_FRF_DATA[[#This Row],[NUMBER_EMPLOYEES]]="","",TBL_FRF_DATA[[#This Row],[NUMBER_EMPLOYEES]])))</f>
        <v/>
      </c>
      <c r="AV66" s="106"/>
      <c r="AW66" s="64" t="str">
        <f>IF(OR(TBL_FRF_DATA[[#This Row],[SBA_ELIGIBILITY_BUSACTUAL_VALUE]]="",TBL_FRF_DATA[[#This Row],[SBA_ELIGIBILITY_MAX_VALUE]]=""),"",IF(TBL_FRF_DATA[[#This Row],[SBA_ELIGIBILITY_BUSACTUAL_VALUE]]&lt;=TBL_FRF_DATA[[#This Row],[SBA_ELIGIBILITY_MAX_VALUE]],"Yes","No"))</f>
        <v/>
      </c>
      <c r="AX66" s="65"/>
      <c r="AY66" s="66"/>
      <c r="AZ66" s="67"/>
      <c r="BA66" s="68"/>
      <c r="BB66" s="85"/>
      <c r="BC66" s="69"/>
      <c r="BD66" s="67"/>
      <c r="BE66" s="68"/>
      <c r="BF66" s="70"/>
    </row>
    <row r="67" spans="2:58" s="31" customFormat="1" ht="26.25" customHeight="1" x14ac:dyDescent="0.2">
      <c r="B67"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7"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7"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7" s="29" t="b">
        <f>AND(TBL_FRF_DATA[[#This Row],[RECORD_STARTED]],(COUNTIFS(TBL_FRF_DATA[RECORD_STARTED],FALSE,TBL_FRF_DATA[ROW_ID],"&lt;"&amp;TBL_FRF_DATA[[#This Row],[ROW_ID]])&gt;0))</f>
        <v>0</v>
      </c>
      <c r="F67" s="27" t="str">
        <f>IF(TBL_FRF_DATA[[#This Row],[RECORD_STARTED]],IF(TBL_FRF_DATA[[#This Row],[ERROR_COUNT]]&gt;0,-1,IF(TBL_FRF_DATA[[#This Row],[REQ_FIELDS_POP]],1,0)),"")</f>
        <v/>
      </c>
      <c r="G67" s="35">
        <f>ROW()-ROW(TBL_FRF_DATA[[#Headers],[ROW_ID]])</f>
        <v>46</v>
      </c>
      <c r="H67" s="55">
        <f t="shared" si="4"/>
        <v>0</v>
      </c>
      <c r="I67" s="28" t="str">
        <f t="shared" si="5"/>
        <v>CV19SBRG___0_0__</v>
      </c>
      <c r="J67" s="28" t="str">
        <f t="shared" si="6"/>
        <v/>
      </c>
      <c r="K67" s="28" t="b">
        <f>OR(TBL_FRF_DATA[[#This Row],[ORGANIZATION_TYPE]]=RANGE_ORG_TYPE_NONPROFIT,TBL_FRF_DATA[[#This Row],[TRIBAL_LAND_FLAG]]=RANGE_YESNO_YES)</f>
        <v>0</v>
      </c>
      <c r="L67" s="28" t="b">
        <f>OR(TBL_FRF_DATA[[#This Row],[ADDRESS_STATE]]="PR",TBL_FRF_DATA[[#This Row],[ADDRESS_STATE]]="VI")</f>
        <v>0</v>
      </c>
      <c r="M67" s="120"/>
      <c r="N67" s="120"/>
      <c r="O67" s="118"/>
      <c r="P67" s="118"/>
      <c r="Q67" s="32"/>
      <c r="R67" s="33"/>
      <c r="S67" s="118"/>
      <c r="T67" s="32"/>
      <c r="U67" s="34"/>
      <c r="V67" s="122"/>
      <c r="W67" s="122"/>
      <c r="X67" s="122"/>
      <c r="Y67" s="114"/>
      <c r="Z67" s="122"/>
      <c r="AA67" s="122"/>
      <c r="AB67" s="126"/>
      <c r="AC67" s="112"/>
      <c r="AD67" s="112"/>
      <c r="AE67" s="126"/>
      <c r="AF67" s="92"/>
      <c r="AG67" s="112"/>
      <c r="AH67" s="98"/>
      <c r="AI67" s="109"/>
      <c r="AJ67" s="104"/>
      <c r="AK67" s="101"/>
      <c r="AL67" s="29" t="str">
        <f>IF(OR(TBL_FRF_DATA[[#This Row],[ELIGIBILITY_BASIS]]="",$U67&lt;0),"",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7" s="125"/>
      <c r="AN67" s="29" t="str">
        <f>IF(AND(TBL_FRF_DATA[[#This Row],[ORGANIZATION_TYPE]]=RANGE_ORG_TYPE_NONPROFIT,TBL_FRF_DATA[[#This Row],[NP_ANNUAL_OP_BUDGET]]&lt;&gt;""),IF(TBL_FRF_DATA[[#This Row],[NP_ANNUAL_OP_BUDGET]]&lt;NP_ANNUAL_OPBUDGET_THRESHOLD_ELIGIBILITY,"Yes","No"),"")</f>
        <v/>
      </c>
      <c r="AO67" s="179" t="str">
        <f>IF(TBL_FRF_DATA[[#This Row],[RECORD_STARTED]],"1/1/2019","")</f>
        <v/>
      </c>
      <c r="AP67" s="124"/>
      <c r="AQ67" s="147" t="str">
        <f>IF(TBL_FRF_DATA[[#This Row],[REVENUE_2019_PERIOD_START]]="","",DATE(YEAR(TBL_FRF_DATA[[#This Row],[REVENUE_2019_PERIOD_START]])+1,MONTH(TBL_FRF_DATA[[#This Row],[REVENUE_2019_PERIOD_START]]),DAY(TBL_FRF_DATA[[#This Row],[REVENUE_2019_PERIOD_START]])))</f>
        <v/>
      </c>
      <c r="AR67" s="124"/>
      <c r="AS67" s="130" t="str">
        <f>IF(AND(TBL_FRF_DATA[[#This Row],[REVENUE_2019_AMT]]&lt;&gt;"",TBL_FRF_DATA[[#This Row],[REVENUE_2020_AMT]]&lt;&gt;""),(TBL_FRF_DATA[[#This Row],[REVENUE_2019_AMT]]-TBL_FRF_DATA[[#This Row],[REVENUE_2020_AMT]])/TBL_FRF_DATA[[#This Row],[REVENUE_2019_AMT]],"")</f>
        <v/>
      </c>
      <c r="AT67" s="129" t="str">
        <f>IF(TBL_FRF_DATA[[#This Row],[REVENUE_PCT_CHANGE]]&lt;&gt;"",IF(TBL_FRF_DATA[[#This Row],[REVENUE_PCT_CHANGE]]&gt;=REVENUE_DECLINE_THRESHOLD_ELIGIBILITY,"Yes","No"),"")</f>
        <v/>
      </c>
      <c r="AU67" s="115" t="str">
        <f>IF(TBL_FRF_DATA[[#This Row],[ELIGIBILITY_BASIS]]="","",IF(TBL_FRF_DATA[[#This Row],[ELIGIBILITY_BASIS]]=ELIG_BASIS_ANNUAL_RECEIPTS,IF(TBL_FRF_DATA[[#This Row],[ANNUAL_RECEIPTS]]="","",TBL_FRF_DATA[[#This Row],[ANNUAL_RECEIPTS]]),IF(TBL_FRF_DATA[[#This Row],[NUMBER_EMPLOYEES]]="","",TBL_FRF_DATA[[#This Row],[NUMBER_EMPLOYEES]])))</f>
        <v/>
      </c>
      <c r="AV67" s="106"/>
      <c r="AW67" s="64" t="str">
        <f>IF(OR(TBL_FRF_DATA[[#This Row],[SBA_ELIGIBILITY_BUSACTUAL_VALUE]]="",TBL_FRF_DATA[[#This Row],[SBA_ELIGIBILITY_MAX_VALUE]]=""),"",IF(TBL_FRF_DATA[[#This Row],[SBA_ELIGIBILITY_BUSACTUAL_VALUE]]&lt;=TBL_FRF_DATA[[#This Row],[SBA_ELIGIBILITY_MAX_VALUE]],"Yes","No"))</f>
        <v/>
      </c>
      <c r="AX67" s="65"/>
      <c r="AY67" s="66"/>
      <c r="AZ67" s="67"/>
      <c r="BA67" s="68"/>
      <c r="BB67" s="85"/>
      <c r="BC67" s="69"/>
      <c r="BD67" s="67"/>
      <c r="BE67" s="68"/>
      <c r="BF67" s="70"/>
    </row>
    <row r="68" spans="2:58" s="31" customFormat="1" ht="26.25" customHeight="1" x14ac:dyDescent="0.2">
      <c r="B68"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8"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8"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8" s="29" t="b">
        <f>AND(TBL_FRF_DATA[[#This Row],[RECORD_STARTED]],(COUNTIFS(TBL_FRF_DATA[RECORD_STARTED],FALSE,TBL_FRF_DATA[ROW_ID],"&lt;"&amp;TBL_FRF_DATA[[#This Row],[ROW_ID]])&gt;0))</f>
        <v>0</v>
      </c>
      <c r="F68" s="27" t="str">
        <f>IF(TBL_FRF_DATA[[#This Row],[RECORD_STARTED]],IF(TBL_FRF_DATA[[#This Row],[ERROR_COUNT]]&gt;0,-1,IF(TBL_FRF_DATA[[#This Row],[REQ_FIELDS_POP]],1,0)),"")</f>
        <v/>
      </c>
      <c r="G68" s="35">
        <f>ROW()-ROW(TBL_FRF_DATA[[#Headers],[ROW_ID]])</f>
        <v>47</v>
      </c>
      <c r="H68" s="55">
        <f t="shared" si="4"/>
        <v>0</v>
      </c>
      <c r="I68" s="28" t="str">
        <f t="shared" si="5"/>
        <v>CV19SBRG___0_0__</v>
      </c>
      <c r="J68" s="28" t="str">
        <f t="shared" si="6"/>
        <v/>
      </c>
      <c r="K68" s="28" t="b">
        <f>OR(TBL_FRF_DATA[[#This Row],[ORGANIZATION_TYPE]]=RANGE_ORG_TYPE_NONPROFIT,TBL_FRF_DATA[[#This Row],[TRIBAL_LAND_FLAG]]=RANGE_YESNO_YES)</f>
        <v>0</v>
      </c>
      <c r="L68" s="28" t="b">
        <f>OR(TBL_FRF_DATA[[#This Row],[ADDRESS_STATE]]="PR",TBL_FRF_DATA[[#This Row],[ADDRESS_STATE]]="VI")</f>
        <v>0</v>
      </c>
      <c r="M68" s="120"/>
      <c r="N68" s="120"/>
      <c r="O68" s="118"/>
      <c r="P68" s="118"/>
      <c r="Q68" s="32"/>
      <c r="R68" s="33"/>
      <c r="S68" s="118"/>
      <c r="T68" s="32"/>
      <c r="U68" s="34"/>
      <c r="V68" s="122"/>
      <c r="W68" s="122"/>
      <c r="X68" s="122"/>
      <c r="Y68" s="114"/>
      <c r="Z68" s="122"/>
      <c r="AA68" s="122"/>
      <c r="AB68" s="126"/>
      <c r="AC68" s="112"/>
      <c r="AD68" s="112"/>
      <c r="AE68" s="126"/>
      <c r="AF68" s="92"/>
      <c r="AG68" s="112"/>
      <c r="AH68" s="98"/>
      <c r="AI68" s="109"/>
      <c r="AJ68" s="104"/>
      <c r="AK68" s="101"/>
      <c r="AL68" s="29" t="str">
        <f>IF(OR(TBL_FRF_DATA[[#This Row],[ELIGIBILITY_BASIS]]="",$U68&lt;0),"",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8" s="125"/>
      <c r="AN68" s="29" t="str">
        <f>IF(AND(TBL_FRF_DATA[[#This Row],[ORGANIZATION_TYPE]]=RANGE_ORG_TYPE_NONPROFIT,TBL_FRF_DATA[[#This Row],[NP_ANNUAL_OP_BUDGET]]&lt;&gt;""),IF(TBL_FRF_DATA[[#This Row],[NP_ANNUAL_OP_BUDGET]]&lt;NP_ANNUAL_OPBUDGET_THRESHOLD_ELIGIBILITY,"Yes","No"),"")</f>
        <v/>
      </c>
      <c r="AO68" s="179" t="str">
        <f>IF(TBL_FRF_DATA[[#This Row],[RECORD_STARTED]],"1/1/2019","")</f>
        <v/>
      </c>
      <c r="AP68" s="124"/>
      <c r="AQ68" s="147" t="str">
        <f>IF(TBL_FRF_DATA[[#This Row],[REVENUE_2019_PERIOD_START]]="","",DATE(YEAR(TBL_FRF_DATA[[#This Row],[REVENUE_2019_PERIOD_START]])+1,MONTH(TBL_FRF_DATA[[#This Row],[REVENUE_2019_PERIOD_START]]),DAY(TBL_FRF_DATA[[#This Row],[REVENUE_2019_PERIOD_START]])))</f>
        <v/>
      </c>
      <c r="AR68" s="124"/>
      <c r="AS68" s="130" t="str">
        <f>IF(AND(TBL_FRF_DATA[[#This Row],[REVENUE_2019_AMT]]&lt;&gt;"",TBL_FRF_DATA[[#This Row],[REVENUE_2020_AMT]]&lt;&gt;""),(TBL_FRF_DATA[[#This Row],[REVENUE_2019_AMT]]-TBL_FRF_DATA[[#This Row],[REVENUE_2020_AMT]])/TBL_FRF_DATA[[#This Row],[REVENUE_2019_AMT]],"")</f>
        <v/>
      </c>
      <c r="AT68" s="129" t="str">
        <f>IF(TBL_FRF_DATA[[#This Row],[REVENUE_PCT_CHANGE]]&lt;&gt;"",IF(TBL_FRF_DATA[[#This Row],[REVENUE_PCT_CHANGE]]&gt;=REVENUE_DECLINE_THRESHOLD_ELIGIBILITY,"Yes","No"),"")</f>
        <v/>
      </c>
      <c r="AU68" s="115" t="str">
        <f>IF(TBL_FRF_DATA[[#This Row],[ELIGIBILITY_BASIS]]="","",IF(TBL_FRF_DATA[[#This Row],[ELIGIBILITY_BASIS]]=ELIG_BASIS_ANNUAL_RECEIPTS,IF(TBL_FRF_DATA[[#This Row],[ANNUAL_RECEIPTS]]="","",TBL_FRF_DATA[[#This Row],[ANNUAL_RECEIPTS]]),IF(TBL_FRF_DATA[[#This Row],[NUMBER_EMPLOYEES]]="","",TBL_FRF_DATA[[#This Row],[NUMBER_EMPLOYEES]])))</f>
        <v/>
      </c>
      <c r="AV68" s="106"/>
      <c r="AW68" s="64" t="str">
        <f>IF(OR(TBL_FRF_DATA[[#This Row],[SBA_ELIGIBILITY_BUSACTUAL_VALUE]]="",TBL_FRF_DATA[[#This Row],[SBA_ELIGIBILITY_MAX_VALUE]]=""),"",IF(TBL_FRF_DATA[[#This Row],[SBA_ELIGIBILITY_BUSACTUAL_VALUE]]&lt;=TBL_FRF_DATA[[#This Row],[SBA_ELIGIBILITY_MAX_VALUE]],"Yes","No"))</f>
        <v/>
      </c>
      <c r="AX68" s="65"/>
      <c r="AY68" s="66"/>
      <c r="AZ68" s="67"/>
      <c r="BA68" s="68"/>
      <c r="BB68" s="85"/>
      <c r="BC68" s="69"/>
      <c r="BD68" s="67"/>
      <c r="BE68" s="68"/>
      <c r="BF68" s="70"/>
    </row>
    <row r="69" spans="2:58" s="31" customFormat="1" ht="26.25" customHeight="1" x14ac:dyDescent="0.2">
      <c r="B69"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69"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69"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69" s="29" t="b">
        <f>AND(TBL_FRF_DATA[[#This Row],[RECORD_STARTED]],(COUNTIFS(TBL_FRF_DATA[RECORD_STARTED],FALSE,TBL_FRF_DATA[ROW_ID],"&lt;"&amp;TBL_FRF_DATA[[#This Row],[ROW_ID]])&gt;0))</f>
        <v>0</v>
      </c>
      <c r="F69" s="27" t="str">
        <f>IF(TBL_FRF_DATA[[#This Row],[RECORD_STARTED]],IF(TBL_FRF_DATA[[#This Row],[ERROR_COUNT]]&gt;0,-1,IF(TBL_FRF_DATA[[#This Row],[REQ_FIELDS_POP]],1,0)),"")</f>
        <v/>
      </c>
      <c r="G69" s="35">
        <f>ROW()-ROW(TBL_FRF_DATA[[#Headers],[ROW_ID]])</f>
        <v>48</v>
      </c>
      <c r="H69" s="55">
        <f t="shared" si="4"/>
        <v>0</v>
      </c>
      <c r="I69" s="28" t="str">
        <f t="shared" si="5"/>
        <v>CV19SBRG___0_0__</v>
      </c>
      <c r="J69" s="28" t="str">
        <f t="shared" si="6"/>
        <v/>
      </c>
      <c r="K69" s="28" t="b">
        <f>OR(TBL_FRF_DATA[[#This Row],[ORGANIZATION_TYPE]]=RANGE_ORG_TYPE_NONPROFIT,TBL_FRF_DATA[[#This Row],[TRIBAL_LAND_FLAG]]=RANGE_YESNO_YES)</f>
        <v>0</v>
      </c>
      <c r="L69" s="28" t="b">
        <f>OR(TBL_FRF_DATA[[#This Row],[ADDRESS_STATE]]="PR",TBL_FRF_DATA[[#This Row],[ADDRESS_STATE]]="VI")</f>
        <v>0</v>
      </c>
      <c r="M69" s="120"/>
      <c r="N69" s="120"/>
      <c r="O69" s="118"/>
      <c r="P69" s="118"/>
      <c r="Q69" s="32"/>
      <c r="R69" s="33"/>
      <c r="S69" s="118"/>
      <c r="T69" s="32"/>
      <c r="U69" s="34"/>
      <c r="V69" s="122"/>
      <c r="W69" s="122"/>
      <c r="X69" s="122"/>
      <c r="Y69" s="114"/>
      <c r="Z69" s="122"/>
      <c r="AA69" s="122"/>
      <c r="AB69" s="126"/>
      <c r="AC69" s="112"/>
      <c r="AD69" s="112"/>
      <c r="AE69" s="126"/>
      <c r="AF69" s="92"/>
      <c r="AG69" s="112"/>
      <c r="AH69" s="98"/>
      <c r="AI69" s="109"/>
      <c r="AJ69" s="104"/>
      <c r="AK69" s="101"/>
      <c r="AL69" s="29" t="str">
        <f>IF(OR(TBL_FRF_DATA[[#This Row],[ELIGIBILITY_BASIS]]="",$U69&lt;0),"",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69" s="125"/>
      <c r="AN69" s="29" t="str">
        <f>IF(AND(TBL_FRF_DATA[[#This Row],[ORGANIZATION_TYPE]]=RANGE_ORG_TYPE_NONPROFIT,TBL_FRF_DATA[[#This Row],[NP_ANNUAL_OP_BUDGET]]&lt;&gt;""),IF(TBL_FRF_DATA[[#This Row],[NP_ANNUAL_OP_BUDGET]]&lt;NP_ANNUAL_OPBUDGET_THRESHOLD_ELIGIBILITY,"Yes","No"),"")</f>
        <v/>
      </c>
      <c r="AO69" s="179" t="str">
        <f>IF(TBL_FRF_DATA[[#This Row],[RECORD_STARTED]],"1/1/2019","")</f>
        <v/>
      </c>
      <c r="AP69" s="124"/>
      <c r="AQ69" s="147" t="str">
        <f>IF(TBL_FRF_DATA[[#This Row],[REVENUE_2019_PERIOD_START]]="","",DATE(YEAR(TBL_FRF_DATA[[#This Row],[REVENUE_2019_PERIOD_START]])+1,MONTH(TBL_FRF_DATA[[#This Row],[REVENUE_2019_PERIOD_START]]),DAY(TBL_FRF_DATA[[#This Row],[REVENUE_2019_PERIOD_START]])))</f>
        <v/>
      </c>
      <c r="AR69" s="124"/>
      <c r="AS69" s="130" t="str">
        <f>IF(AND(TBL_FRF_DATA[[#This Row],[REVENUE_2019_AMT]]&lt;&gt;"",TBL_FRF_DATA[[#This Row],[REVENUE_2020_AMT]]&lt;&gt;""),(TBL_FRF_DATA[[#This Row],[REVENUE_2019_AMT]]-TBL_FRF_DATA[[#This Row],[REVENUE_2020_AMT]])/TBL_FRF_DATA[[#This Row],[REVENUE_2019_AMT]],"")</f>
        <v/>
      </c>
      <c r="AT69" s="129" t="str">
        <f>IF(TBL_FRF_DATA[[#This Row],[REVENUE_PCT_CHANGE]]&lt;&gt;"",IF(TBL_FRF_DATA[[#This Row],[REVENUE_PCT_CHANGE]]&gt;=REVENUE_DECLINE_THRESHOLD_ELIGIBILITY,"Yes","No"),"")</f>
        <v/>
      </c>
      <c r="AU69" s="115" t="str">
        <f>IF(TBL_FRF_DATA[[#This Row],[ELIGIBILITY_BASIS]]="","",IF(TBL_FRF_DATA[[#This Row],[ELIGIBILITY_BASIS]]=ELIG_BASIS_ANNUAL_RECEIPTS,IF(TBL_FRF_DATA[[#This Row],[ANNUAL_RECEIPTS]]="","",TBL_FRF_DATA[[#This Row],[ANNUAL_RECEIPTS]]),IF(TBL_FRF_DATA[[#This Row],[NUMBER_EMPLOYEES]]="","",TBL_FRF_DATA[[#This Row],[NUMBER_EMPLOYEES]])))</f>
        <v/>
      </c>
      <c r="AV69" s="106"/>
      <c r="AW69" s="64" t="str">
        <f>IF(OR(TBL_FRF_DATA[[#This Row],[SBA_ELIGIBILITY_BUSACTUAL_VALUE]]="",TBL_FRF_DATA[[#This Row],[SBA_ELIGIBILITY_MAX_VALUE]]=""),"",IF(TBL_FRF_DATA[[#This Row],[SBA_ELIGIBILITY_BUSACTUAL_VALUE]]&lt;=TBL_FRF_DATA[[#This Row],[SBA_ELIGIBILITY_MAX_VALUE]],"Yes","No"))</f>
        <v/>
      </c>
      <c r="AX69" s="65"/>
      <c r="AY69" s="66"/>
      <c r="AZ69" s="67"/>
      <c r="BA69" s="68"/>
      <c r="BB69" s="85"/>
      <c r="BC69" s="69"/>
      <c r="BD69" s="67"/>
      <c r="BE69" s="68"/>
      <c r="BF69" s="70"/>
    </row>
    <row r="70" spans="2:58" s="31" customFormat="1" ht="26.25" customHeight="1" x14ac:dyDescent="0.2">
      <c r="B70"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70"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70"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70" s="29" t="b">
        <f>AND(TBL_FRF_DATA[[#This Row],[RECORD_STARTED]],(COUNTIFS(TBL_FRF_DATA[RECORD_STARTED],FALSE,TBL_FRF_DATA[ROW_ID],"&lt;"&amp;TBL_FRF_DATA[[#This Row],[ROW_ID]])&gt;0))</f>
        <v>0</v>
      </c>
      <c r="F70" s="27" t="str">
        <f>IF(TBL_FRF_DATA[[#This Row],[RECORD_STARTED]],IF(TBL_FRF_DATA[[#This Row],[ERROR_COUNT]]&gt;0,-1,IF(TBL_FRF_DATA[[#This Row],[REQ_FIELDS_POP]],1,0)),"")</f>
        <v/>
      </c>
      <c r="G70" s="35">
        <f>ROW()-ROW(TBL_FRF_DATA[[#Headers],[ROW_ID]])</f>
        <v>49</v>
      </c>
      <c r="H70" s="55">
        <f t="shared" si="4"/>
        <v>0</v>
      </c>
      <c r="I70" s="28" t="str">
        <f t="shared" si="5"/>
        <v>CV19SBRG___0_0__</v>
      </c>
      <c r="J70" s="28" t="str">
        <f t="shared" si="6"/>
        <v/>
      </c>
      <c r="K70" s="28" t="b">
        <f>OR(TBL_FRF_DATA[[#This Row],[ORGANIZATION_TYPE]]=RANGE_ORG_TYPE_NONPROFIT,TBL_FRF_DATA[[#This Row],[TRIBAL_LAND_FLAG]]=RANGE_YESNO_YES)</f>
        <v>0</v>
      </c>
      <c r="L70" s="28" t="b">
        <f>OR(TBL_FRF_DATA[[#This Row],[ADDRESS_STATE]]="PR",TBL_FRF_DATA[[#This Row],[ADDRESS_STATE]]="VI")</f>
        <v>0</v>
      </c>
      <c r="M70" s="120"/>
      <c r="N70" s="120"/>
      <c r="O70" s="118"/>
      <c r="P70" s="118"/>
      <c r="Q70" s="32"/>
      <c r="R70" s="33"/>
      <c r="S70" s="118"/>
      <c r="T70" s="32"/>
      <c r="U70" s="34"/>
      <c r="V70" s="122"/>
      <c r="W70" s="122"/>
      <c r="X70" s="122"/>
      <c r="Y70" s="114"/>
      <c r="Z70" s="122"/>
      <c r="AA70" s="122"/>
      <c r="AB70" s="126"/>
      <c r="AC70" s="112"/>
      <c r="AD70" s="112"/>
      <c r="AE70" s="126"/>
      <c r="AF70" s="92"/>
      <c r="AG70" s="112"/>
      <c r="AH70" s="98"/>
      <c r="AI70" s="109"/>
      <c r="AJ70" s="104"/>
      <c r="AK70" s="101"/>
      <c r="AL70" s="29" t="str">
        <f>IF(OR(TBL_FRF_DATA[[#This Row],[ELIGIBILITY_BASIS]]="",$U70&lt;0),"",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70" s="125"/>
      <c r="AN70" s="29" t="str">
        <f>IF(AND(TBL_FRF_DATA[[#This Row],[ORGANIZATION_TYPE]]=RANGE_ORG_TYPE_NONPROFIT,TBL_FRF_DATA[[#This Row],[NP_ANNUAL_OP_BUDGET]]&lt;&gt;""),IF(TBL_FRF_DATA[[#This Row],[NP_ANNUAL_OP_BUDGET]]&lt;NP_ANNUAL_OPBUDGET_THRESHOLD_ELIGIBILITY,"Yes","No"),"")</f>
        <v/>
      </c>
      <c r="AO70" s="179" t="str">
        <f>IF(TBL_FRF_DATA[[#This Row],[RECORD_STARTED]],"1/1/2019","")</f>
        <v/>
      </c>
      <c r="AP70" s="124"/>
      <c r="AQ70" s="147" t="str">
        <f>IF(TBL_FRF_DATA[[#This Row],[REVENUE_2019_PERIOD_START]]="","",DATE(YEAR(TBL_FRF_DATA[[#This Row],[REVENUE_2019_PERIOD_START]])+1,MONTH(TBL_FRF_DATA[[#This Row],[REVENUE_2019_PERIOD_START]]),DAY(TBL_FRF_DATA[[#This Row],[REVENUE_2019_PERIOD_START]])))</f>
        <v/>
      </c>
      <c r="AR70" s="124"/>
      <c r="AS70" s="130" t="str">
        <f>IF(AND(TBL_FRF_DATA[[#This Row],[REVENUE_2019_AMT]]&lt;&gt;"",TBL_FRF_DATA[[#This Row],[REVENUE_2020_AMT]]&lt;&gt;""),(TBL_FRF_DATA[[#This Row],[REVENUE_2019_AMT]]-TBL_FRF_DATA[[#This Row],[REVENUE_2020_AMT]])/TBL_FRF_DATA[[#This Row],[REVENUE_2019_AMT]],"")</f>
        <v/>
      </c>
      <c r="AT70" s="129" t="str">
        <f>IF(TBL_FRF_DATA[[#This Row],[REVENUE_PCT_CHANGE]]&lt;&gt;"",IF(TBL_FRF_DATA[[#This Row],[REVENUE_PCT_CHANGE]]&gt;=REVENUE_DECLINE_THRESHOLD_ELIGIBILITY,"Yes","No"),"")</f>
        <v/>
      </c>
      <c r="AU70" s="115" t="str">
        <f>IF(TBL_FRF_DATA[[#This Row],[ELIGIBILITY_BASIS]]="","",IF(TBL_FRF_DATA[[#This Row],[ELIGIBILITY_BASIS]]=ELIG_BASIS_ANNUAL_RECEIPTS,IF(TBL_FRF_DATA[[#This Row],[ANNUAL_RECEIPTS]]="","",TBL_FRF_DATA[[#This Row],[ANNUAL_RECEIPTS]]),IF(TBL_FRF_DATA[[#This Row],[NUMBER_EMPLOYEES]]="","",TBL_FRF_DATA[[#This Row],[NUMBER_EMPLOYEES]])))</f>
        <v/>
      </c>
      <c r="AV70" s="106"/>
      <c r="AW70" s="64" t="str">
        <f>IF(OR(TBL_FRF_DATA[[#This Row],[SBA_ELIGIBILITY_BUSACTUAL_VALUE]]="",TBL_FRF_DATA[[#This Row],[SBA_ELIGIBILITY_MAX_VALUE]]=""),"",IF(TBL_FRF_DATA[[#This Row],[SBA_ELIGIBILITY_BUSACTUAL_VALUE]]&lt;=TBL_FRF_DATA[[#This Row],[SBA_ELIGIBILITY_MAX_VALUE]],"Yes","No"))</f>
        <v/>
      </c>
      <c r="AX70" s="65"/>
      <c r="AY70" s="66"/>
      <c r="AZ70" s="67"/>
      <c r="BA70" s="68"/>
      <c r="BB70" s="85"/>
      <c r="BC70" s="69"/>
      <c r="BD70" s="67"/>
      <c r="BE70" s="68"/>
      <c r="BF70" s="70"/>
    </row>
    <row r="71" spans="2:58" s="31" customFormat="1" ht="26.25" customHeight="1" x14ac:dyDescent="0.2">
      <c r="B71" s="28" t="b">
        <f>(CONCATENATE(TBL_FRF_DATA[[#This Row],[ORGANIZATION_NAME]],TBL_FRF_DATA[[#This Row],[ORGANIZATION_TYPE]],TBL_FRF_DATA[[#This Row],[ADDRESS_STREET]],TBL_FRF_DATA[[#This Row],[ADDRESS_CITY]],TBL_FRF_DATA[[#This Row],[ADDRESS_STATE]],TBL_FRF_DATA[[#This Row],[ADDRESS_ZIP]],TBL_FRF_DATA[[#This Row],[ADDRESS_COUNTY]],TBL_FRF_DATA[[#This Row],[TRIBAL_LAND_FLAG]],TBL_FRF_DATA[[#This Row],[FUNDS_REQUESTED]],TBL_FRF_DATA[[#This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f>
        <v>0</v>
      </c>
      <c r="C71" s="28" t="b">
        <f>AND(TBL_FRF_DATA[[#This Row],[ORGANIZATION_NAME]]&lt;&gt;"",TBL_FRF_DATA[[#This Row],[ORGANIZATION_TYPE]]&lt;&gt;"",TBL_FRF_DATA[[#This Row],[ADDRESS_STREET]]&lt;&gt;"",TBL_FRF_DATA[[#This Row],[ADDRESS_CITY]]&lt;&gt;"",TBL_FRF_DATA[[#This Row],[ADDRESS_STATE]]&lt;&gt;"",TBL_FRF_DATA[[#This Row],[ADDRESS_ZIP]]&lt;&gt;"",TBL_FRF_DATA[[#This Row],[ADDRESS_COUNTY]]&lt;&gt;"",TBL_FRF_DATA[[#This Row],[TRIBAL_LAND_FLAG]]&lt;&gt;"",TBL_FRF_DATA[[#This Row],[FUNDS_REQUESTED]]&lt;&gt;"",
IF(TBL_FRF_DATA[[#This Row],[FUNDS_REQUESTED]]&lt;0,TRUE,
AND(TBL_FRF_DATA[[#This Row],[FUNDING_TYPE]]&lt;&gt;"",TBL_FRF_DATA[[#This Row],[FUNDING_LEVERAGE]]&lt;&gt;"",TBL_FRF_DATA[[#This Row],[UOF_DESC]]&lt;&gt;"",TBL_FRF_DATA[[#This Row],[DUPLICATE_SUBMISSION]]&lt;&gt;"",TBL_FRF_DATA[[#This Row],[ORG_OP_STATUS]]&lt;&gt;"",TBL_FRF_DATA[[#This Row],[BUSINESS_DESCRIPTION]]&lt;&gt;"",TBL_FRF_DATA[[#This Row],[TAXID_TYPE]]&lt;&gt;"",TBL_FRF_DATA[[#This Row],[TAXID_VALUE]]&lt;&gt;"",TBL_FRF_DATA[[#This Row],[REVENUE_2019_AMT]]&lt;&gt;"",TBL_FRF_DATA[[#This Row],[REVENUE_2020_AMT]]&lt;&gt;"",TBL_FRF_DATA[[#This Row],[REVENUE_2019_PERIOD_START]]&lt;&gt;"",
IF(TBL_FRF_DATA[[#This Row],[ORGANIZATION_TYPE]]=RANGE_ORG_TYPE_SMALLBUSINESS,
  AND(TBL_FRF_DATA[[#This Row],[OWNER_NAME]]&lt;&gt;"",TBL_FRF_DATA[[#This Row],[OWNERSHIP_STRUCTURE]]&lt;&gt;"",TBL_FRF_DATA[[#This Row],[NAICS_CODE]]&lt;&gt;"",TBL_FRF_DATA[[#This Row],[ELIGIBILITY_BASIS]]&lt;&gt;"",
  IF(TBL_FRF_DATA[[#This Row],[ELIGIBILITY_BASIS]]=ELIG_BASIS_ANNUAL_RECEIPTS,AND(TBL_FRF_DATA[[#This Row],[ANNUAL_RECEIPTS]]&lt;&gt;"",TBL_FRF_DATA[[#This Row],[SBA_MAX_ANNUAL_RECEIPTS]]&lt;&gt;""),
  IF(TBL_FRF_DATA[[#This Row],[ELIGIBILITY_BASIS]]=ELIG_BASIS_NUM_EMPLOYEES,AND(TBL_FRF_DATA[[#This Row],[NUMBER_EMPLOYEES]]&lt;&gt;"",TBL_FRF_DATA[[#This Row],[SBA_MAX_NUMBER_EMPLOYEES]]&lt;&gt;""),FALSE))),
  AND(TBL_FRF_DATA[[#This Row],[NP_ANNUAL_OP_BUDGET]]&lt;&gt;"")))))</f>
        <v>0</v>
      </c>
      <c r="D71" s="29">
        <f>SUM(
IF(AND(TBL_FRF_DATA[[#This Row],[ADDRESS_STATE]]="",TBL_FRF_DATA[[#This Row],[ADDRESS_COUNTY]]&lt;&gt;""),1,0),
IF(AND(TBL_FRF_DATA[[#This Row],[SBA_QUALIFIED_FLAG]]&lt;&gt;"",TBL_FRF_DATA[[#This Row],[SBA_QUALIFIED_FLAG]]="No"),1,0),
IF(AND(TBL_FRF_DATA[[#This Row],[DUPLICATE_SUBMISSION]]&lt;&gt;"",TBL_FRF_DATA[[#This Row],[DUPLICATE_SUBMISSION]]="Yes"),1,0),
IF(AND(TBL_FRF_DATA[[#This Row],[QUALIFIED_REVENUE_IMPACT_FLAG]]&lt;&gt;"",TBL_FRF_DATA[[#This Row],[QUALIFIED_REVENUE_IMPACT_FLAG]]="No"),1,0),
IF(AND(TBL_FRF_DATA[[#This Row],[NP_ANNUAL_OP_BUDGET_QUALIFIED_FLAG]]&lt;&gt;"",TBL_FRF_DATA[[#This Row],[NP_ANNUAL_OP_BUDGET_QUALIFIED_FLAG]]="No"),1,0),
IF(TBL_FRF_DATA[[#This Row],[ERROR_NOT_IN_ORDER]],1,0),
IF(AND(TBL_FRF_DATA[[#This Row],[FUNDS_REQUESTED]]&lt;0,CONCATENATE(TBL_FRF_DATA[[#This Row],[FUNDING_TYPE]],TBL_FRF_DATA[[#This Row],[FUNDING_LEVERAGE]],TBL_FRF_DATA[[#This Row],[UOF_DESC]],TBL_FRF_DATA[[#This Row],[DUPLICATE_SUBMISSION]],TBL_FRF_DATA[[#This Row],[ORG_OP_STATUS]],TBL_FRF_DATA[[#This Row],[OWNER_NAME]],TBL_FRF_DATA[[#This Row],[OWNERSHIP_STRUCTURE]],TBL_FRF_DATA[[#This Row],[BUSINESS_DESCRIPTION]],TBL_FRF_DATA[[#This Row],[TAXID_TYPE]],TBL_FRF_DATA[[#This Row],[TAXID_VALUE]],TBL_FRF_DATA[[#This Row],[REVENUE_2019_PERIOD_START]],TBL_FRF_DATA[[#This Row],[REVENUE_2019_AMT]],TBL_FRF_DATA[[#This Row],[REVENUE_2020_AMT]],TBL_FRF_DATA[[#This Row],[NAICS_CODE]],TBL_FRF_DATA[[#This Row],[ELIGIBILITY_BASIS]],TBL_FRF_DATA[[#This Row],[ANNUAL_RECEIPTS]],TBL_FRF_DATA[[#This Row],[SBA_MAX_ANNUAL_RECEIPTS]],TBL_FRF_DATA[[#This Row],[NUMBER_EMPLOYEES]],TBL_FRF_DATA[[#This Row],[SBA_MAX_NUMBER_EMPLOYEES]],TBL_FRF_DATA[[#This Row],[NP_ANNUAL_OP_BUDGET]])&lt;&gt;""),1,0),
IF(AND(TBL_FRF_DATA[[#This Row],[ORGANIZATION_TYPE]]=RANGE_ORG_TYPE_SMALLBUSINESS,CONCATENATE(TBL_FRF_DATA[[#This Row],[NP_ANNUAL_OP_BUDGET]])&lt;&gt;""),1,0),
IF(AND(TBL_FRF_DATA[[#This Row],[ORGANIZATION_TYPE]]=RANGE_ORG_TYPE_NONPROFIT,CONCATENATE(TBL_FRF_DATA[[#This Row],[OWNER_NAME]],TBL_FRF_DATA[[#This Row],[OWNERSHIP_STRUCTURE]],TBL_FRF_DATA[[#This Row],[NAICS_CODE]],TBL_FRF_DATA[[#This Row],[ELIGIBILITY_BASIS]],TBL_FRF_DATA[[#This Row],[ANNUAL_RECEIPTS]],TBL_FRF_DATA[[#This Row],[SBA_MAX_ANNUAL_RECEIPTS]],TBL_FRF_DATA[[#This Row],[NUMBER_EMPLOYEES]],TBL_FRF_DATA[[#This Row],[SBA_MAX_NUMBER_EMPLOYEES]])&lt;&gt;""),1,0)
)</f>
        <v>0</v>
      </c>
      <c r="E71" s="29" t="b">
        <f>AND(TBL_FRF_DATA[[#This Row],[RECORD_STARTED]],(COUNTIFS(TBL_FRF_DATA[RECORD_STARTED],FALSE,TBL_FRF_DATA[ROW_ID],"&lt;"&amp;TBL_FRF_DATA[[#This Row],[ROW_ID]])&gt;0))</f>
        <v>0</v>
      </c>
      <c r="F71" s="27" t="str">
        <f>IF(TBL_FRF_DATA[[#This Row],[RECORD_STARTED]],IF(TBL_FRF_DATA[[#This Row],[ERROR_COUNT]]&gt;0,-1,IF(TBL_FRF_DATA[[#This Row],[REQ_FIELDS_POP]],1,0)),"")</f>
        <v/>
      </c>
      <c r="G71" s="35">
        <f>ROW()-ROW(TBL_FRF_DATA[[#Headers],[ROW_ID]])</f>
        <v>50</v>
      </c>
      <c r="H71" s="55">
        <f t="shared" si="1"/>
        <v>0</v>
      </c>
      <c r="I71" s="28" t="str">
        <f t="shared" si="2"/>
        <v>CV19SBRG___0_0__</v>
      </c>
      <c r="J71" s="28" t="str">
        <f t="shared" si="3"/>
        <v/>
      </c>
      <c r="K71" s="28" t="b">
        <f>OR(TBL_FRF_DATA[[#This Row],[ORGANIZATION_TYPE]]=RANGE_ORG_TYPE_NONPROFIT,TBL_FRF_DATA[[#This Row],[TRIBAL_LAND_FLAG]]=RANGE_YESNO_YES)</f>
        <v>0</v>
      </c>
      <c r="L71" s="28" t="b">
        <f>OR(TBL_FRF_DATA[[#This Row],[ADDRESS_STATE]]="PR",TBL_FRF_DATA[[#This Row],[ADDRESS_STATE]]="VI")</f>
        <v>0</v>
      </c>
      <c r="M71" s="120"/>
      <c r="N71" s="120"/>
      <c r="O71" s="118"/>
      <c r="P71" s="118"/>
      <c r="Q71" s="32"/>
      <c r="R71" s="33"/>
      <c r="S71" s="118"/>
      <c r="T71" s="32"/>
      <c r="U71" s="34"/>
      <c r="V71" s="122"/>
      <c r="W71" s="122"/>
      <c r="X71" s="122"/>
      <c r="Y71" s="114"/>
      <c r="Z71" s="122"/>
      <c r="AA71" s="122"/>
      <c r="AB71" s="126"/>
      <c r="AC71" s="112"/>
      <c r="AD71" s="112"/>
      <c r="AE71" s="126"/>
      <c r="AF71" s="92"/>
      <c r="AG71" s="112"/>
      <c r="AH71" s="98"/>
      <c r="AI71" s="109"/>
      <c r="AJ71" s="104"/>
      <c r="AK71" s="101"/>
      <c r="AL71" s="29" t="str">
        <f>IF(OR(TBL_FRF_DATA[[#This Row],[ELIGIBILITY_BASIS]]="",$U71&lt;0),"",
IF(TBL_FRF_DATA[[#This Row],[ELIGIBILITY_BASIS]]=ELIG_BASIS_ANNUAL_RECEIPTS,
 IF(OR(TBL_FRF_DATA[[#This Row],[ANNUAL_RECEIPTS]]="",TBL_FRF_DATA[[#This Row],[SBA_MAX_ANNUAL_RECEIPTS]]=""),"",
 IF(TBL_FRF_DATA[[#This Row],[ANNUAL_RECEIPTS]]&lt;=TBL_FRF_DATA[[#This Row],[SBA_MAX_ANNUAL_RECEIPTS]],"Yes","No")),
 IF(OR(TBL_FRF_DATA[[#This Row],[NUMBER_EMPLOYEES]]="",TBL_FRF_DATA[[#This Row],[SBA_MAX_NUMBER_EMPLOYEES]]=""),"",
IF(TBL_FRF_DATA[[#This Row],[NUMBER_EMPLOYEES]]&lt;=TBL_FRF_DATA[[#This Row],[SBA_MAX_NUMBER_EMPLOYEES]],"Yes","No"))
)
)</f>
        <v/>
      </c>
      <c r="AM71" s="125"/>
      <c r="AN71" s="29" t="str">
        <f>IF(AND(TBL_FRF_DATA[[#This Row],[ORGANIZATION_TYPE]]=RANGE_ORG_TYPE_NONPROFIT,TBL_FRF_DATA[[#This Row],[NP_ANNUAL_OP_BUDGET]]&lt;&gt;""),IF(TBL_FRF_DATA[[#This Row],[NP_ANNUAL_OP_BUDGET]]&lt;NP_ANNUAL_OPBUDGET_THRESHOLD_ELIGIBILITY,"Yes","No"),"")</f>
        <v/>
      </c>
      <c r="AO71" s="179" t="str">
        <f>IF(TBL_FRF_DATA[[#This Row],[RECORD_STARTED]],"1/1/2019","")</f>
        <v/>
      </c>
      <c r="AP71" s="124"/>
      <c r="AQ71" s="147" t="str">
        <f>IF(TBL_FRF_DATA[[#This Row],[REVENUE_2019_PERIOD_START]]="","",DATE(YEAR(TBL_FRF_DATA[[#This Row],[REVENUE_2019_PERIOD_START]])+1,MONTH(TBL_FRF_DATA[[#This Row],[REVENUE_2019_PERIOD_START]]),DAY(TBL_FRF_DATA[[#This Row],[REVENUE_2019_PERIOD_START]])))</f>
        <v/>
      </c>
      <c r="AR71" s="124"/>
      <c r="AS71" s="130" t="str">
        <f>IF(AND(TBL_FRF_DATA[[#This Row],[REVENUE_2019_AMT]]&lt;&gt;"",TBL_FRF_DATA[[#This Row],[REVENUE_2020_AMT]]&lt;&gt;""),(TBL_FRF_DATA[[#This Row],[REVENUE_2019_AMT]]-TBL_FRF_DATA[[#This Row],[REVENUE_2020_AMT]])/TBL_FRF_DATA[[#This Row],[REVENUE_2019_AMT]],"")</f>
        <v/>
      </c>
      <c r="AT71" s="129" t="str">
        <f>IF(TBL_FRF_DATA[[#This Row],[REVENUE_PCT_CHANGE]]&lt;&gt;"",IF(TBL_FRF_DATA[[#This Row],[REVENUE_PCT_CHANGE]]&gt;=REVENUE_DECLINE_THRESHOLD_ELIGIBILITY,"Yes","No"),"")</f>
        <v/>
      </c>
      <c r="AU71" s="115" t="str">
        <f>IF(TBL_FRF_DATA[[#This Row],[ELIGIBILITY_BASIS]]="","",IF(TBL_FRF_DATA[[#This Row],[ELIGIBILITY_BASIS]]=ELIG_BASIS_ANNUAL_RECEIPTS,IF(TBL_FRF_DATA[[#This Row],[ANNUAL_RECEIPTS]]="","",TBL_FRF_DATA[[#This Row],[ANNUAL_RECEIPTS]]),IF(TBL_FRF_DATA[[#This Row],[NUMBER_EMPLOYEES]]="","",TBL_FRF_DATA[[#This Row],[NUMBER_EMPLOYEES]])))</f>
        <v/>
      </c>
      <c r="AV71" s="106"/>
      <c r="AW71" s="64" t="str">
        <f>IF(OR(TBL_FRF_DATA[[#This Row],[SBA_ELIGIBILITY_BUSACTUAL_VALUE]]="",TBL_FRF_DATA[[#This Row],[SBA_ELIGIBILITY_MAX_VALUE]]=""),"",IF(TBL_FRF_DATA[[#This Row],[SBA_ELIGIBILITY_BUSACTUAL_VALUE]]&lt;=TBL_FRF_DATA[[#This Row],[SBA_ELIGIBILITY_MAX_VALUE]],"Yes","No"))</f>
        <v/>
      </c>
      <c r="AX71" s="65"/>
      <c r="AY71" s="66"/>
      <c r="AZ71" s="67"/>
      <c r="BA71" s="68"/>
      <c r="BB71" s="85"/>
      <c r="BC71" s="69"/>
      <c r="BD71" s="67"/>
      <c r="BE71" s="68"/>
      <c r="BF71" s="70"/>
    </row>
    <row r="72" spans="2:58" x14ac:dyDescent="0.25">
      <c r="AA72" s="22"/>
      <c r="AB72" s="22"/>
      <c r="AD72" s="22"/>
      <c r="AE72" s="22"/>
      <c r="AJ72" s="22"/>
      <c r="AK72" s="22"/>
      <c r="AL72" s="22"/>
      <c r="AM72" s="22"/>
      <c r="AN72" s="22"/>
      <c r="AO72" s="22"/>
      <c r="AP72" s="22"/>
      <c r="AQ72" s="22"/>
      <c r="AT72" s="22"/>
      <c r="AW72" s="22"/>
      <c r="AX72" s="22"/>
      <c r="AY72" s="22"/>
      <c r="AZ72" s="22"/>
    </row>
  </sheetData>
  <sheetProtection algorithmName="SHA-512" hashValue="UrOM3jfIG4ZCRamK5Np/K1QlK3QTpYrrj/861urCN6JgsWlhGjdGAU1uYsknnOkSkbMxfmUpQ8fpGjIaT6PhXQ==" saltValue="hdn1sLHE8Y0dZ/pEaero4Q==" spinCount="100000" sheet="1" objects="1" scenarios="1"/>
  <dataConsolidate/>
  <mergeCells count="119">
    <mergeCell ref="S5:V5"/>
    <mergeCell ref="F5:O5"/>
    <mergeCell ref="P5:Q5"/>
    <mergeCell ref="AF16:AT16"/>
    <mergeCell ref="P6:Q6"/>
    <mergeCell ref="U7:V7"/>
    <mergeCell ref="U6:V6"/>
    <mergeCell ref="P11:Q11"/>
    <mergeCell ref="P12:Q12"/>
    <mergeCell ref="F6:O6"/>
    <mergeCell ref="F11:G11"/>
    <mergeCell ref="F8:Q8"/>
    <mergeCell ref="AA5:AN5"/>
    <mergeCell ref="AA6:AN10"/>
    <mergeCell ref="AM11:AN11"/>
    <mergeCell ref="AM12:AN12"/>
    <mergeCell ref="AU3:BF3"/>
    <mergeCell ref="AU14:BF14"/>
    <mergeCell ref="AU17:AX17"/>
    <mergeCell ref="AY17:BB17"/>
    <mergeCell ref="BC17:BF17"/>
    <mergeCell ref="AU5:BF5"/>
    <mergeCell ref="AA11:AC11"/>
    <mergeCell ref="AA12:AC12"/>
    <mergeCell ref="AD11:AE11"/>
    <mergeCell ref="AD12:AE12"/>
    <mergeCell ref="AF11:AH11"/>
    <mergeCell ref="AF12:AH12"/>
    <mergeCell ref="AI11:AL11"/>
    <mergeCell ref="AI12:AL12"/>
    <mergeCell ref="AF17:AL17"/>
    <mergeCell ref="AM17:AN17"/>
    <mergeCell ref="AA17:AE17"/>
    <mergeCell ref="AO17:AT17"/>
    <mergeCell ref="U17:Z17"/>
    <mergeCell ref="M17:T17"/>
    <mergeCell ref="P9:Q9"/>
    <mergeCell ref="S6:T7"/>
    <mergeCell ref="S8:T9"/>
    <mergeCell ref="S10:T11"/>
    <mergeCell ref="S12:T12"/>
    <mergeCell ref="Q18:Q19"/>
    <mergeCell ref="R18:R19"/>
    <mergeCell ref="S18:S19"/>
    <mergeCell ref="U18:U19"/>
    <mergeCell ref="V18:V19"/>
    <mergeCell ref="X18:X19"/>
    <mergeCell ref="P10:Q10"/>
    <mergeCell ref="N18:N19"/>
    <mergeCell ref="M12:O12"/>
    <mergeCell ref="B3:E3"/>
    <mergeCell ref="B6:C6"/>
    <mergeCell ref="B7:C7"/>
    <mergeCell ref="B8:C8"/>
    <mergeCell ref="B9:C9"/>
    <mergeCell ref="B10:C10"/>
    <mergeCell ref="B11:C11"/>
    <mergeCell ref="B12:C12"/>
    <mergeCell ref="B5:D5"/>
    <mergeCell ref="B18:B19"/>
    <mergeCell ref="C18:C19"/>
    <mergeCell ref="D18:D19"/>
    <mergeCell ref="E18:E19"/>
    <mergeCell ref="U8:V8"/>
    <mergeCell ref="U9:V9"/>
    <mergeCell ref="U10:V10"/>
    <mergeCell ref="U11:V11"/>
    <mergeCell ref="U12:V12"/>
    <mergeCell ref="B17:E17"/>
    <mergeCell ref="B14:E14"/>
    <mergeCell ref="F12:G12"/>
    <mergeCell ref="F9:G9"/>
    <mergeCell ref="F10:G10"/>
    <mergeCell ref="M10:O10"/>
    <mergeCell ref="M11:O11"/>
    <mergeCell ref="H18:H19"/>
    <mergeCell ref="I18:I19"/>
    <mergeCell ref="J18:J19"/>
    <mergeCell ref="F18:F19"/>
    <mergeCell ref="G18:G19"/>
    <mergeCell ref="M18:M19"/>
    <mergeCell ref="O18:O19"/>
    <mergeCell ref="P18:P19"/>
    <mergeCell ref="K18:K19"/>
    <mergeCell ref="L18:L19"/>
    <mergeCell ref="AX18:AX19"/>
    <mergeCell ref="AY18:AY19"/>
    <mergeCell ref="AZ18:AZ19"/>
    <mergeCell ref="BA18:BA19"/>
    <mergeCell ref="BB18:BB19"/>
    <mergeCell ref="BC18:BC19"/>
    <mergeCell ref="AA18:AA19"/>
    <mergeCell ref="AB18:AB19"/>
    <mergeCell ref="AE18:AE19"/>
    <mergeCell ref="Y18:Y19"/>
    <mergeCell ref="Z18:Z19"/>
    <mergeCell ref="T18:T19"/>
    <mergeCell ref="W18:W19"/>
    <mergeCell ref="BD18:BD19"/>
    <mergeCell ref="BE18:BE19"/>
    <mergeCell ref="BF18:BF19"/>
    <mergeCell ref="AW18:AW19"/>
    <mergeCell ref="AJ18:AK18"/>
    <mergeCell ref="AL18:AL19"/>
    <mergeCell ref="AG18:AG19"/>
    <mergeCell ref="AC18:AC19"/>
    <mergeCell ref="AD18:AD19"/>
    <mergeCell ref="AP18:AP19"/>
    <mergeCell ref="AH18:AI18"/>
    <mergeCell ref="AT18:AT19"/>
    <mergeCell ref="AR18:AR19"/>
    <mergeCell ref="AS18:AS19"/>
    <mergeCell ref="AM18:AM19"/>
    <mergeCell ref="AN18:AN19"/>
    <mergeCell ref="AU18:AU19"/>
    <mergeCell ref="AV18:AV19"/>
    <mergeCell ref="AF18:AF19"/>
    <mergeCell ref="AO18:AO19"/>
    <mergeCell ref="AQ18:AQ19"/>
  </mergeCells>
  <phoneticPr fontId="28" type="noConversion"/>
  <conditionalFormatting sqref="Q22:Q71">
    <cfRule type="expression" dxfId="90" priority="49">
      <formula>$S22&lt;&gt;""</formula>
    </cfRule>
  </conditionalFormatting>
  <conditionalFormatting sqref="S22:S71">
    <cfRule type="expression" dxfId="89" priority="48">
      <formula>AND($S22&lt;&gt;"",$Q22="")</formula>
    </cfRule>
  </conditionalFormatting>
  <conditionalFormatting sqref="F10">
    <cfRule type="iconSet" priority="44">
      <iconSet iconSet="3Signs" showValue="0">
        <cfvo type="percent" val="0"/>
        <cfvo type="num" val="0"/>
        <cfvo type="num" val="1"/>
      </iconSet>
    </cfRule>
  </conditionalFormatting>
  <conditionalFormatting sqref="P10">
    <cfRule type="cellIs" dxfId="88" priority="40" operator="greaterThan">
      <formula>0</formula>
    </cfRule>
  </conditionalFormatting>
  <conditionalFormatting sqref="P11">
    <cfRule type="cellIs" dxfId="87" priority="39" operator="greaterThan">
      <formula>0</formula>
    </cfRule>
  </conditionalFormatting>
  <conditionalFormatting sqref="P12">
    <cfRule type="cellIs" dxfId="86" priority="38" operator="greaterThan">
      <formula>0</formula>
    </cfRule>
  </conditionalFormatting>
  <conditionalFormatting sqref="M22:AT71">
    <cfRule type="expression" dxfId="85" priority="37">
      <formula>($E22=TRUE)</formula>
    </cfRule>
  </conditionalFormatting>
  <conditionalFormatting sqref="F11:F12">
    <cfRule type="iconSet" priority="34">
      <iconSet iconSet="3Signs" showValue="0">
        <cfvo type="percent" val="0"/>
        <cfvo type="num" val="0"/>
        <cfvo type="num" val="1"/>
      </iconSet>
    </cfRule>
  </conditionalFormatting>
  <conditionalFormatting sqref="F20">
    <cfRule type="iconSet" priority="33">
      <iconSet iconSet="3Signs" showValue="0">
        <cfvo type="percent" val="0"/>
        <cfvo type="num" val="0"/>
        <cfvo type="num" val="1"/>
      </iconSet>
    </cfRule>
  </conditionalFormatting>
  <conditionalFormatting sqref="AW22:AW71 AN22:AN71 AT22:AT71">
    <cfRule type="cellIs" dxfId="84" priority="32" operator="equal">
      <formula>"No"</formula>
    </cfRule>
  </conditionalFormatting>
  <conditionalFormatting sqref="AU22:AV71">
    <cfRule type="expression" dxfId="83" priority="80">
      <formula>IF($AG22="",FALSE,IF($AG22=ELIG_BASIS_ANNUAL_RECEIPTS,AND(AH22&lt;&gt;"",AU22&lt;&gt;"",AH22&lt;&gt;AU22),AND(AJ22&lt;&gt;"",AU22&lt;&gt;"",AJ22&lt;&gt;AU22)))</formula>
    </cfRule>
  </conditionalFormatting>
  <conditionalFormatting sqref="AL22:AL71">
    <cfRule type="cellIs" dxfId="82" priority="24" operator="equal">
      <formula>"No"</formula>
    </cfRule>
  </conditionalFormatting>
  <conditionalFormatting sqref="Y22:Y71">
    <cfRule type="cellIs" dxfId="81" priority="23" operator="equal">
      <formula>"Yes"</formula>
    </cfRule>
  </conditionalFormatting>
  <conditionalFormatting sqref="Z22:Z71">
    <cfRule type="cellIs" dxfId="80" priority="22" operator="equal">
      <formula>"No"</formula>
    </cfRule>
  </conditionalFormatting>
  <conditionalFormatting sqref="F22:F71">
    <cfRule type="iconSet" priority="84">
      <iconSet iconSet="3Signs" showValue="0">
        <cfvo type="percent" val="0"/>
        <cfvo type="num" val="0"/>
        <cfvo type="num" val="1"/>
      </iconSet>
    </cfRule>
  </conditionalFormatting>
  <conditionalFormatting sqref="Q46:Q71">
    <cfRule type="expression" dxfId="79" priority="17">
      <formula>$S46&lt;&gt;""</formula>
    </cfRule>
  </conditionalFormatting>
  <conditionalFormatting sqref="S46:S71">
    <cfRule type="expression" dxfId="78" priority="16">
      <formula>AND($S46&lt;&gt;"",$Q46="")</formula>
    </cfRule>
  </conditionalFormatting>
  <conditionalFormatting sqref="AW46:AW71">
    <cfRule type="cellIs" dxfId="77" priority="12" operator="equal">
      <formula>"No"</formula>
    </cfRule>
  </conditionalFormatting>
  <conditionalFormatting sqref="V22:AT71">
    <cfRule type="expression" dxfId="76" priority="13">
      <formula>AND($U22&lt;0,V22&lt;&gt;"")</formula>
    </cfRule>
    <cfRule type="expression" dxfId="75" priority="14">
      <formula>($U22&lt;0)</formula>
    </cfRule>
  </conditionalFormatting>
  <conditionalFormatting sqref="AU46:AV71">
    <cfRule type="expression" dxfId="74" priority="18">
      <formula>IF($AG46="",FALSE,IF($AG46=ELIG_BASIS_ANNUAL_RECEIPTS,AND(AH46&lt;&gt;"",AU46&lt;&gt;"",AH46&lt;&gt;AU46),AND(AJ46&lt;&gt;"",AU46&lt;&gt;"",AJ46&lt;&gt;AU46)))</formula>
    </cfRule>
  </conditionalFormatting>
  <conditionalFormatting sqref="AL46:AL71">
    <cfRule type="cellIs" dxfId="73" priority="11" operator="equal">
      <formula>"No"</formula>
    </cfRule>
  </conditionalFormatting>
  <conditionalFormatting sqref="Y46:Y71">
    <cfRule type="cellIs" dxfId="72" priority="10" operator="equal">
      <formula>"Yes"</formula>
    </cfRule>
  </conditionalFormatting>
  <conditionalFormatting sqref="Z46:Z71">
    <cfRule type="cellIs" dxfId="71" priority="9" operator="equal">
      <formula>"No"</formula>
    </cfRule>
  </conditionalFormatting>
  <conditionalFormatting sqref="F46:F71">
    <cfRule type="iconSet" priority="19">
      <iconSet iconSet="3Signs" showValue="0">
        <cfvo type="percent" val="0"/>
        <cfvo type="num" val="0"/>
        <cfvo type="num" val="1"/>
      </iconSet>
    </cfRule>
  </conditionalFormatting>
  <conditionalFormatting sqref="AC22:AC71">
    <cfRule type="expression" dxfId="70" priority="5">
      <formula>$AD22&lt;&gt;""</formula>
    </cfRule>
  </conditionalFormatting>
  <conditionalFormatting sqref="AD22:AE71">
    <cfRule type="expression" dxfId="69" priority="4">
      <formula>$AC22=RANGE_TAXID_TYPE_SSN</formula>
    </cfRule>
    <cfRule type="expression" dxfId="68" priority="6">
      <formula>$AC22=RANGE_TAXID_TYPE_EIN</formula>
    </cfRule>
  </conditionalFormatting>
  <conditionalFormatting sqref="AA22:AB71 AF22:AL71">
    <cfRule type="expression" dxfId="67" priority="7">
      <formula>AND($N22&lt;&gt;RANGE_ORG_TYPE_SMALLBUSINESS,AA22&lt;&gt;"")</formula>
    </cfRule>
    <cfRule type="expression" dxfId="66" priority="8">
      <formula>AND($N22&lt;&gt;RANGE_ORG_TYPE_SMALLBUSINESS)</formula>
    </cfRule>
  </conditionalFormatting>
  <conditionalFormatting sqref="AH22:AI71">
    <cfRule type="expression" dxfId="65" priority="95">
      <formula>AND($AG22=ELIG_BASIS_ANNUAL_RECEIPTS,NOT($U22&lt;0))</formula>
    </cfRule>
  </conditionalFormatting>
  <conditionalFormatting sqref="AJ22:AK71">
    <cfRule type="expression" dxfId="64" priority="96">
      <formula>AND($AG22=ELIG_BASIS_NUM_EMPLOYEES,NOT($U22&lt;0))</formula>
    </cfRule>
  </conditionalFormatting>
  <conditionalFormatting sqref="AM22:AN71">
    <cfRule type="expression" dxfId="63" priority="2">
      <formula>AND($N22&lt;&gt;RANGE_ORG_TYPE_NONPROFIT)</formula>
    </cfRule>
    <cfRule type="expression" dxfId="62" priority="3">
      <formula>AND($N22&lt;&gt;RANGE_ORG_TYPE_NONPROFIT,AM22&lt;&gt;"")</formula>
    </cfRule>
  </conditionalFormatting>
  <conditionalFormatting sqref="AV22:AV71">
    <cfRule type="expression" dxfId="61" priority="1">
      <formula>($N22=RANGE_ORG_TYPE_NONPROFIT)</formula>
    </cfRule>
  </conditionalFormatting>
  <dataValidations xWindow="1406" yWindow="793" count="30">
    <dataValidation type="whole" allowBlank="1" showInputMessage="1" showErrorMessage="1" error="Enter a valid zip code" sqref="R22:R71" xr:uid="{00000000-0002-0000-0100-000000000000}">
      <formula1>1</formula1>
      <formula2>999999999</formula2>
    </dataValidation>
    <dataValidation type="date" operator="greaterThan" allowBlank="1" showInputMessage="1" showErrorMessage="1" sqref="AM11" xr:uid="{00000000-0002-0000-0100-000002000000}">
      <formula1>43101</formula1>
    </dataValidation>
    <dataValidation type="list" allowBlank="1" showErrorMessage="1" sqref="V22:V71" xr:uid="{00000000-0002-0000-0100-000003000000}">
      <formula1>RANGE_LOOKUP_FUNDINGTYPE</formula1>
    </dataValidation>
    <dataValidation allowBlank="1" showInputMessage="1" showErrorMessage="1" prompt="Refer to the Program Guidelines for eligible uses of funds." sqref="X22:X71" xr:uid="{00000000-0002-0000-0100-000004000000}"/>
    <dataValidation operator="greaterThan" allowBlank="1" showInputMessage="1" showErrorMessage="1" error="Enter a value greater than zero" sqref="AI22:AI71 AA22:AA71 AE22:AE71" xr:uid="{00000000-0002-0000-0100-000005000000}"/>
    <dataValidation type="list" allowBlank="1" showInputMessage="1" showErrorMessage="1" sqref="BA22:BA71 BE22:BE71" xr:uid="{00000000-0002-0000-0100-000006000000}">
      <formula1>RANGE_ANALYST_RECOMMENDATION</formula1>
    </dataValidation>
    <dataValidation type="decimal" operator="greaterThan" allowBlank="1" showInputMessage="1" showErrorMessage="1" sqref="AV22:AV71 AM22:AM71" xr:uid="{00000000-0002-0000-0100-000007000000}">
      <formula1>0</formula1>
    </dataValidation>
    <dataValidation type="whole" operator="greaterThan" allowBlank="1" showInputMessage="1" showErrorMessage="1" error="Enter a value greater than zero" sqref="AF22:AF71 AJ22:AK71" xr:uid="{00000000-0002-0000-0100-000008000000}">
      <formula1>0</formula1>
    </dataValidation>
    <dataValidation type="list" operator="greaterThan" allowBlank="1" showInputMessage="1" showErrorMessage="1" sqref="AG22:AG71" xr:uid="{00000000-0002-0000-0100-000009000000}">
      <formula1>RANGE_LOOKUP_ELIGIBILITY_BASIS</formula1>
    </dataValidation>
    <dataValidation type="decimal" operator="greaterThan" allowBlank="1" showInputMessage="1" showErrorMessage="1" error="Enter a value greater than zero" sqref="AH22:AH71" xr:uid="{00000000-0002-0000-0100-00000A000000}">
      <formula1>0</formula1>
    </dataValidation>
    <dataValidation type="decimal" allowBlank="1" showInputMessage="1" showErrorMessage="1" error="Enter value of funds requested, up to $10,000 per business.  If reporting a drop-out, enter the drop-out amount as a negative number." prompt="Enter value of funds requested, up to $10,000 per organization (rounded to the nearest $100).  If reporting a withdrawal, enter the grant amount to be returned as a negative number." sqref="U22:U71" xr:uid="{00000000-0002-0000-0100-00000B000000}">
      <formula1>-10000</formula1>
      <formula2>10000</formula2>
    </dataValidation>
    <dataValidation operator="greaterThan" allowBlank="1" showInputMessage="1" showErrorMessage="1" sqref="AU22:AU71" xr:uid="{00000000-0002-0000-0100-00000C000000}"/>
    <dataValidation type="list" operator="greaterThan" allowBlank="1" showInputMessage="1" showErrorMessage="1" sqref="AB22:AB71" xr:uid="{00000000-0002-0000-0100-00000D000000}">
      <formula1>RANGE_OWNERSHIP_STRUCTURE</formula1>
    </dataValidation>
    <dataValidation type="list" allowBlank="1" showInputMessage="1" showErrorMessage="1" prompt="Has this small business or non-profit organization applied for a Small Business Recovery Grant with another FHLBNY member institution? For small businesses, has the owner applied for the program for another business?_x000a_" sqref="Y22:Y71" xr:uid="{00000000-0002-0000-0100-00000E000000}">
      <formula1>RANGE_YESNO</formula1>
    </dataValidation>
    <dataValidation type="list" allowBlank="1" showErrorMessage="1" sqref="Z22:Z71" xr:uid="{00000000-0002-0000-0100-00000F000000}">
      <formula1>RANGE_ORG_OP_STATUS</formula1>
    </dataValidation>
    <dataValidation type="date" operator="greaterThanOrEqual" allowBlank="1" showInputMessage="1" showErrorMessage="1" sqref="AM12" xr:uid="{00000000-0002-0000-0100-000010000000}">
      <formula1>43178</formula1>
    </dataValidation>
    <dataValidation type="list" allowBlank="1" showInputMessage="1" showErrorMessage="1" error="Select a valid state from the drop down menu.  County/Municipio must be cleared in order to select State" sqref="Q22:Q71" xr:uid="{00000000-0002-0000-0100-000011000000}">
      <formula1>IF($S22="",RANGE_LOOKUP_STATE,INDIRECT("RANGE_FAKE"))</formula1>
    </dataValidation>
    <dataValidation type="list" allowBlank="1" showInputMessage="1" showErrorMessage="1" error="Select valid county/municipio from the drop down list" sqref="S22:S71" xr:uid="{00000000-0002-0000-0100-000012000000}">
      <formula1>IF($Q22&lt;&gt;"",INDIRECT("RANGE_LOOKUP_COUNTY_"&amp;$Q22),INDIRECT("RANGE_LOOKUP_COUNTY_PLACEHOLDER"))</formula1>
    </dataValidation>
    <dataValidation type="list" allowBlank="1" showInputMessage="1" showErrorMessage="1" sqref="N22:N71" xr:uid="{B2825EDA-498A-4635-92D3-28E489AC08A7}">
      <formula1>RANGE_ORG_TYPE</formula1>
    </dataValidation>
    <dataValidation type="list" allowBlank="1" showInputMessage="1" showErrorMessage="1" error="Select valid county/municipio from the drop down list" prompt="Is this small business or non-profit located on tribal land?" sqref="T22:T71" xr:uid="{FA41004C-D299-4226-B1A5-A8DEE163BA6A}">
      <formula1>RANGE_YESNO</formula1>
    </dataValidation>
    <dataValidation type="list" allowBlank="1" showErrorMessage="1" sqref="W22:W71" xr:uid="{05A97EE7-8DC3-40B7-97F7-39D45A9760BC}">
      <formula1>RANGE_FUNDING_LEVERAGE</formula1>
    </dataValidation>
    <dataValidation type="list" operator="greaterThan" allowBlank="1" showErrorMessage="1" error="Enter a value greater than zero" sqref="AC22:AC71" xr:uid="{DCD18DFB-3111-429D-BCBD-6FB34EB93BD3}">
      <formula1>IF($AD22="",RANGE_TAXID_TYPE,INDIRECT("RANGE_FAKE"))</formula1>
    </dataValidation>
    <dataValidation type="custom" operator="greaterThan" showInputMessage="1" showErrorMessage="1" error="Select Tax ID type first, then enter only 4 digits for an SSN or the full 9 digits for an EIN. " sqref="AD22:AE71" xr:uid="{447ECBBC-49C3-4A23-94F1-F6E0B83CD3EC}">
      <formula1>AND($AC22&lt;&gt;"",IFERROR(_xlfn.NUMBERVALUE($AD22),0)&gt;0,ISNUMBER($AD22),IF($AC22=RANGE_TAXID_TYPE_SSN,LEN(TEXT($AD22,"0000"))=4,LEN(TEXT($AD22,"000000000"))=9))</formula1>
    </dataValidation>
    <dataValidation operator="greaterThan" showInputMessage="1" showErrorMessage="1" sqref="AS22:AT71" xr:uid="{C6B51CCA-57C6-47D2-B442-4B2CA7F69108}"/>
    <dataValidation type="decimal" operator="greaterThanOrEqual" allowBlank="1" showInputMessage="1" showErrorMessage="1" prompt="Enter total revenue for 2020" sqref="AR22:AR71" xr:uid="{1F9508D5-FF1C-4B00-9EBC-8675F4E0BE5E}">
      <formula1>0</formula1>
    </dataValidation>
    <dataValidation type="decimal" operator="greaterThan" allowBlank="1" showInputMessage="1" showErrorMessage="1" prompt="Enter total revenue for 2019" sqref="AP22:AP71" xr:uid="{DF136BD8-7EB1-41C1-9D41-A6150A9C06E8}">
      <formula1>0</formula1>
    </dataValidation>
    <dataValidation operator="greaterThanOrEqual" allowBlank="1" showErrorMessage="1" prompt="Enter revenue period start date, beginning September 1, 2019 or later." sqref="AO22:AO71" xr:uid="{0EBFD0BD-BD0D-4FB8-950E-616ABEEBE101}"/>
    <dataValidation operator="greaterThanOrEqual" allowBlank="1" showInputMessage="1" showErrorMessage="1" sqref="AQ22:AQ71" xr:uid="{43D1FAEC-4FF2-47A4-BC1A-DD32EFFC9B56}"/>
    <dataValidation operator="greaterThan" allowBlank="1" showErrorMessage="1" sqref="AQ22:AQ71" xr:uid="{1047538B-4C4B-4DDA-A1B8-1D45896D9A9D}"/>
    <dataValidation type="date" operator="greaterThanOrEqual" allowBlank="1" showInputMessage="1" showErrorMessage="1" sqref="P6:Q6" xr:uid="{9CAA1BAA-6328-419C-8976-C099FC46AAB7}">
      <formula1>44197</formula1>
    </dataValidation>
  </dataValidations>
  <hyperlinks>
    <hyperlink ref="AI19" r:id="rId1" display="SBA Maximum Value *" xr:uid="{00000000-0004-0000-0100-000000000000}"/>
    <hyperlink ref="AK19" r:id="rId2" display="SBA Maximum Value *" xr:uid="{00000000-0004-0000-0100-000001000000}"/>
    <hyperlink ref="AF18" r:id="rId3" xr:uid="{00000000-0004-0000-0100-000002000000}"/>
  </hyperlinks>
  <pageMargins left="0.7" right="0.7" top="0.75" bottom="0.75" header="0.3" footer="0.3"/>
  <pageSetup scale="40" fitToHeight="0" orientation="landscape" r:id="rId4"/>
  <headerFooter>
    <oddFooter>Page &amp;P of &amp;N</oddFooter>
  </headerFooter>
  <ignoredErrors>
    <ignoredError sqref="AD28:AD71" listDataValidation="1"/>
  </ignoredErrors>
  <drawing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AB166"/>
  <sheetViews>
    <sheetView topLeftCell="F1" zoomScaleNormal="100" workbookViewId="0">
      <pane ySplit="2" topLeftCell="A3" activePane="bottomLeft" state="frozen"/>
      <selection activeCell="F6" sqref="F6:O6"/>
      <selection pane="bottomLeft" activeCell="M4" sqref="M4"/>
    </sheetView>
  </sheetViews>
  <sheetFormatPr defaultRowHeight="15" x14ac:dyDescent="0.25"/>
  <cols>
    <col min="1" max="1" width="40.7109375" bestFit="1" customWidth="1"/>
    <col min="3" max="3" width="45" bestFit="1" customWidth="1"/>
    <col min="5" max="5" width="18.140625" customWidth="1"/>
    <col min="6" max="6" width="13.140625" customWidth="1"/>
    <col min="7" max="7" width="17" customWidth="1"/>
    <col min="9" max="9" width="46.5703125" bestFit="1" customWidth="1"/>
    <col min="11" max="11" width="46.5703125" bestFit="1" customWidth="1"/>
    <col min="12" max="12" width="16.5703125" bestFit="1" customWidth="1"/>
    <col min="14" max="14" width="40.7109375" bestFit="1" customWidth="1"/>
    <col min="16" max="16" width="40.7109375" bestFit="1" customWidth="1"/>
    <col min="18" max="18" width="38" bestFit="1" customWidth="1"/>
    <col min="20" max="20" width="40.7109375" bestFit="1" customWidth="1"/>
    <col min="22" max="22" width="30.5703125" bestFit="1" customWidth="1"/>
    <col min="24" max="24" width="32.85546875" customWidth="1"/>
    <col min="26" max="26" width="42.42578125" bestFit="1" customWidth="1"/>
    <col min="28" max="28" width="30.5703125" bestFit="1" customWidth="1"/>
  </cols>
  <sheetData>
    <row r="1" spans="1:28" x14ac:dyDescent="0.25">
      <c r="A1" s="13" t="s">
        <v>23</v>
      </c>
      <c r="C1" s="13" t="s">
        <v>30</v>
      </c>
      <c r="E1" s="13" t="s">
        <v>182</v>
      </c>
      <c r="I1" s="13" t="s">
        <v>184</v>
      </c>
      <c r="K1" s="13" t="s">
        <v>33</v>
      </c>
      <c r="N1" s="13" t="s">
        <v>45</v>
      </c>
      <c r="P1" s="13" t="s">
        <v>133</v>
      </c>
      <c r="R1" s="13" t="s">
        <v>213</v>
      </c>
      <c r="T1" s="13" t="s">
        <v>224</v>
      </c>
      <c r="V1" s="13" t="s">
        <v>235</v>
      </c>
      <c r="X1" s="13" t="s">
        <v>328</v>
      </c>
      <c r="Z1" s="13" t="s">
        <v>335</v>
      </c>
      <c r="AB1" s="13" t="s">
        <v>346</v>
      </c>
    </row>
    <row r="2" spans="1:28" ht="15.75" thickBot="1" x14ac:dyDescent="0.3">
      <c r="A2" s="14" t="s">
        <v>20</v>
      </c>
      <c r="C2" s="14" t="s">
        <v>31</v>
      </c>
      <c r="E2" s="14" t="s">
        <v>24</v>
      </c>
      <c r="F2" s="14" t="s">
        <v>20</v>
      </c>
      <c r="G2" s="14" t="s">
        <v>25</v>
      </c>
      <c r="I2" s="20" t="s">
        <v>185</v>
      </c>
      <c r="K2" s="20" t="s">
        <v>34</v>
      </c>
      <c r="L2" s="20" t="s">
        <v>35</v>
      </c>
      <c r="N2" s="14" t="s">
        <v>44</v>
      </c>
      <c r="P2" s="14" t="s">
        <v>134</v>
      </c>
      <c r="R2" s="14" t="s">
        <v>214</v>
      </c>
      <c r="T2" s="14" t="s">
        <v>225</v>
      </c>
      <c r="V2" s="14" t="s">
        <v>233</v>
      </c>
      <c r="X2" s="14" t="s">
        <v>329</v>
      </c>
      <c r="Z2" s="14" t="s">
        <v>333</v>
      </c>
      <c r="AB2" s="14" t="s">
        <v>347</v>
      </c>
    </row>
    <row r="3" spans="1:28" ht="15.75" thickTop="1" x14ac:dyDescent="0.25">
      <c r="A3" s="16" t="s">
        <v>240</v>
      </c>
      <c r="C3" s="19" t="s">
        <v>32</v>
      </c>
      <c r="E3" s="18" t="str">
        <f t="shared" ref="E3:E48" si="0">UPPER(F3&amp;"_"&amp;G3)</f>
        <v>PR_ADJUNTAS</v>
      </c>
      <c r="F3" s="18" t="s">
        <v>21</v>
      </c>
      <c r="G3" s="18" t="s">
        <v>54</v>
      </c>
      <c r="I3" s="16" t="s">
        <v>186</v>
      </c>
      <c r="K3" s="16" t="s">
        <v>36</v>
      </c>
      <c r="L3" s="21">
        <v>10000</v>
      </c>
      <c r="N3" s="16" t="s">
        <v>46</v>
      </c>
      <c r="P3" s="16" t="s">
        <v>135</v>
      </c>
      <c r="R3" s="16" t="s">
        <v>215</v>
      </c>
      <c r="T3" s="16" t="s">
        <v>197</v>
      </c>
      <c r="V3" s="16" t="s">
        <v>236</v>
      </c>
      <c r="X3" s="16" t="s">
        <v>330</v>
      </c>
      <c r="Z3" s="16" t="s">
        <v>336</v>
      </c>
      <c r="AB3" s="16" t="s">
        <v>344</v>
      </c>
    </row>
    <row r="4" spans="1:28" x14ac:dyDescent="0.25">
      <c r="A4" s="15" t="s">
        <v>241</v>
      </c>
      <c r="E4" s="17" t="str">
        <f t="shared" si="0"/>
        <v>PR_AGUADA</v>
      </c>
      <c r="F4" s="17" t="s">
        <v>21</v>
      </c>
      <c r="G4" s="17" t="s">
        <v>55</v>
      </c>
      <c r="I4" s="15" t="s">
        <v>187</v>
      </c>
      <c r="K4" s="15" t="s">
        <v>43</v>
      </c>
      <c r="L4" s="87">
        <v>44426</v>
      </c>
      <c r="N4" s="15" t="s">
        <v>47</v>
      </c>
      <c r="P4" s="15" t="s">
        <v>136</v>
      </c>
      <c r="R4" s="15" t="s">
        <v>216</v>
      </c>
      <c r="T4" s="15" t="s">
        <v>223</v>
      </c>
      <c r="V4" s="15" t="s">
        <v>237</v>
      </c>
      <c r="X4" s="15" t="s">
        <v>331</v>
      </c>
      <c r="Z4" s="15" t="s">
        <v>337</v>
      </c>
      <c r="AB4" s="15" t="s">
        <v>348</v>
      </c>
    </row>
    <row r="5" spans="1:28" x14ac:dyDescent="0.25">
      <c r="A5" s="16" t="s">
        <v>21</v>
      </c>
      <c r="E5" s="18" t="str">
        <f t="shared" si="0"/>
        <v>PR_AGUADILLA</v>
      </c>
      <c r="F5" s="18" t="s">
        <v>21</v>
      </c>
      <c r="G5" s="18" t="s">
        <v>56</v>
      </c>
      <c r="K5" s="16" t="s">
        <v>359</v>
      </c>
      <c r="L5" s="128">
        <v>0.25</v>
      </c>
      <c r="N5" s="16" t="s">
        <v>175</v>
      </c>
      <c r="R5" s="16" t="s">
        <v>217</v>
      </c>
      <c r="X5" s="16" t="s">
        <v>323</v>
      </c>
      <c r="Z5" s="16" t="s">
        <v>334</v>
      </c>
    </row>
    <row r="6" spans="1:28" x14ac:dyDescent="0.25">
      <c r="A6" s="15" t="s">
        <v>22</v>
      </c>
      <c r="E6" s="17" t="str">
        <f t="shared" si="0"/>
        <v>PR_AGUAS BUENAS</v>
      </c>
      <c r="F6" s="17" t="s">
        <v>21</v>
      </c>
      <c r="G6" s="17" t="s">
        <v>57</v>
      </c>
      <c r="K6" s="15" t="s">
        <v>361</v>
      </c>
      <c r="L6" s="131">
        <v>20000000</v>
      </c>
      <c r="R6" s="15" t="s">
        <v>218</v>
      </c>
    </row>
    <row r="7" spans="1:28" x14ac:dyDescent="0.25">
      <c r="E7" s="18" t="str">
        <f t="shared" si="0"/>
        <v>PR_AIBONITO</v>
      </c>
      <c r="F7" s="18" t="s">
        <v>21</v>
      </c>
      <c r="G7" s="18" t="s">
        <v>58</v>
      </c>
      <c r="R7" s="16" t="s">
        <v>219</v>
      </c>
    </row>
    <row r="8" spans="1:28" x14ac:dyDescent="0.25">
      <c r="E8" s="17" t="str">
        <f t="shared" si="0"/>
        <v>PR_ANASCO</v>
      </c>
      <c r="F8" s="17" t="s">
        <v>21</v>
      </c>
      <c r="G8" s="17" t="s">
        <v>59</v>
      </c>
      <c r="R8" s="15" t="s">
        <v>211</v>
      </c>
    </row>
    <row r="9" spans="1:28" x14ac:dyDescent="0.25">
      <c r="E9" s="18" t="str">
        <f t="shared" si="0"/>
        <v>PR_ARECIBO</v>
      </c>
      <c r="F9" s="18" t="s">
        <v>21</v>
      </c>
      <c r="G9" s="18" t="s">
        <v>60</v>
      </c>
    </row>
    <row r="10" spans="1:28" x14ac:dyDescent="0.25">
      <c r="E10" s="17" t="str">
        <f t="shared" si="0"/>
        <v>PR_ARROYO</v>
      </c>
      <c r="F10" s="17" t="s">
        <v>21</v>
      </c>
      <c r="G10" s="17" t="s">
        <v>61</v>
      </c>
    </row>
    <row r="11" spans="1:28" x14ac:dyDescent="0.25">
      <c r="E11" s="18" t="str">
        <f t="shared" si="0"/>
        <v>PR_BARCELONETA</v>
      </c>
      <c r="F11" s="18" t="s">
        <v>21</v>
      </c>
      <c r="G11" s="18" t="s">
        <v>62</v>
      </c>
    </row>
    <row r="12" spans="1:28" x14ac:dyDescent="0.25">
      <c r="E12" s="17" t="str">
        <f t="shared" si="0"/>
        <v>PR_BARRANQUITAS</v>
      </c>
      <c r="F12" s="17" t="s">
        <v>21</v>
      </c>
      <c r="G12" s="17" t="s">
        <v>63</v>
      </c>
    </row>
    <row r="13" spans="1:28" x14ac:dyDescent="0.25">
      <c r="E13" s="18" t="str">
        <f t="shared" si="0"/>
        <v>PR_BAYAMON</v>
      </c>
      <c r="F13" s="18" t="s">
        <v>21</v>
      </c>
      <c r="G13" s="18" t="s">
        <v>64</v>
      </c>
    </row>
    <row r="14" spans="1:28" x14ac:dyDescent="0.25">
      <c r="E14" s="17" t="str">
        <f t="shared" si="0"/>
        <v>PR_CABO ROJO</v>
      </c>
      <c r="F14" s="17" t="s">
        <v>21</v>
      </c>
      <c r="G14" s="17" t="s">
        <v>65</v>
      </c>
    </row>
    <row r="15" spans="1:28" x14ac:dyDescent="0.25">
      <c r="E15" s="18" t="str">
        <f t="shared" si="0"/>
        <v>PR_CAGUAS</v>
      </c>
      <c r="F15" s="18" t="s">
        <v>21</v>
      </c>
      <c r="G15" s="18" t="s">
        <v>66</v>
      </c>
    </row>
    <row r="16" spans="1:28" x14ac:dyDescent="0.25">
      <c r="E16" s="17" t="str">
        <f t="shared" si="0"/>
        <v>PR_CAMUY</v>
      </c>
      <c r="F16" s="17" t="s">
        <v>21</v>
      </c>
      <c r="G16" s="17" t="s">
        <v>67</v>
      </c>
    </row>
    <row r="17" spans="5:7" x14ac:dyDescent="0.25">
      <c r="E17" s="18" t="str">
        <f t="shared" si="0"/>
        <v>PR_CANOVANAS</v>
      </c>
      <c r="F17" s="18" t="s">
        <v>21</v>
      </c>
      <c r="G17" s="18" t="s">
        <v>68</v>
      </c>
    </row>
    <row r="18" spans="5:7" x14ac:dyDescent="0.25">
      <c r="E18" s="17" t="str">
        <f t="shared" si="0"/>
        <v>PR_CAROLINA</v>
      </c>
      <c r="F18" s="17" t="s">
        <v>21</v>
      </c>
      <c r="G18" s="17" t="s">
        <v>69</v>
      </c>
    </row>
    <row r="19" spans="5:7" x14ac:dyDescent="0.25">
      <c r="E19" s="18" t="str">
        <f t="shared" si="0"/>
        <v>PR_CATANO</v>
      </c>
      <c r="F19" s="18" t="s">
        <v>21</v>
      </c>
      <c r="G19" s="18" t="s">
        <v>70</v>
      </c>
    </row>
    <row r="20" spans="5:7" x14ac:dyDescent="0.25">
      <c r="E20" s="17" t="str">
        <f t="shared" si="0"/>
        <v>PR_CAYEY</v>
      </c>
      <c r="F20" s="17" t="s">
        <v>21</v>
      </c>
      <c r="G20" s="17" t="s">
        <v>71</v>
      </c>
    </row>
    <row r="21" spans="5:7" x14ac:dyDescent="0.25">
      <c r="E21" s="18" t="str">
        <f t="shared" si="0"/>
        <v>PR_CEIBA</v>
      </c>
      <c r="F21" s="18" t="s">
        <v>21</v>
      </c>
      <c r="G21" s="18" t="s">
        <v>72</v>
      </c>
    </row>
    <row r="22" spans="5:7" x14ac:dyDescent="0.25">
      <c r="E22" s="17" t="str">
        <f t="shared" si="0"/>
        <v>PR_CIALES</v>
      </c>
      <c r="F22" s="17" t="s">
        <v>21</v>
      </c>
      <c r="G22" s="17" t="s">
        <v>73</v>
      </c>
    </row>
    <row r="23" spans="5:7" x14ac:dyDescent="0.25">
      <c r="E23" s="18" t="str">
        <f t="shared" si="0"/>
        <v>PR_CIDRA</v>
      </c>
      <c r="F23" s="18" t="s">
        <v>21</v>
      </c>
      <c r="G23" s="18" t="s">
        <v>74</v>
      </c>
    </row>
    <row r="24" spans="5:7" x14ac:dyDescent="0.25">
      <c r="E24" s="17" t="str">
        <f t="shared" si="0"/>
        <v>PR_COAMO</v>
      </c>
      <c r="F24" s="17" t="s">
        <v>21</v>
      </c>
      <c r="G24" s="17" t="s">
        <v>75</v>
      </c>
    </row>
    <row r="25" spans="5:7" x14ac:dyDescent="0.25">
      <c r="E25" s="18" t="str">
        <f t="shared" si="0"/>
        <v>PR_COMERIO</v>
      </c>
      <c r="F25" s="18" t="s">
        <v>21</v>
      </c>
      <c r="G25" s="18" t="s">
        <v>76</v>
      </c>
    </row>
    <row r="26" spans="5:7" x14ac:dyDescent="0.25">
      <c r="E26" s="17" t="str">
        <f t="shared" si="0"/>
        <v>PR_COROZAL</v>
      </c>
      <c r="F26" s="17" t="s">
        <v>21</v>
      </c>
      <c r="G26" s="17" t="s">
        <v>77</v>
      </c>
    </row>
    <row r="27" spans="5:7" x14ac:dyDescent="0.25">
      <c r="E27" s="18" t="str">
        <f t="shared" si="0"/>
        <v>PR_CULEBRA</v>
      </c>
      <c r="F27" s="18" t="s">
        <v>21</v>
      </c>
      <c r="G27" s="18" t="s">
        <v>78</v>
      </c>
    </row>
    <row r="28" spans="5:7" x14ac:dyDescent="0.25">
      <c r="E28" s="17" t="str">
        <f t="shared" si="0"/>
        <v>PR_DORADO</v>
      </c>
      <c r="F28" s="17" t="s">
        <v>21</v>
      </c>
      <c r="G28" s="17" t="s">
        <v>79</v>
      </c>
    </row>
    <row r="29" spans="5:7" x14ac:dyDescent="0.25">
      <c r="E29" s="18" t="str">
        <f t="shared" si="0"/>
        <v>PR_FAJARDO</v>
      </c>
      <c r="F29" s="18" t="s">
        <v>21</v>
      </c>
      <c r="G29" s="18" t="s">
        <v>80</v>
      </c>
    </row>
    <row r="30" spans="5:7" x14ac:dyDescent="0.25">
      <c r="E30" s="17" t="str">
        <f t="shared" si="0"/>
        <v>PR_FLORIDA</v>
      </c>
      <c r="F30" s="17" t="s">
        <v>21</v>
      </c>
      <c r="G30" s="17" t="s">
        <v>81</v>
      </c>
    </row>
    <row r="31" spans="5:7" x14ac:dyDescent="0.25">
      <c r="E31" s="18" t="str">
        <f t="shared" si="0"/>
        <v>PR_GUANICA</v>
      </c>
      <c r="F31" s="18" t="s">
        <v>21</v>
      </c>
      <c r="G31" s="18" t="s">
        <v>82</v>
      </c>
    </row>
    <row r="32" spans="5:7" x14ac:dyDescent="0.25">
      <c r="E32" s="17" t="str">
        <f t="shared" si="0"/>
        <v>PR_GUAYAMA</v>
      </c>
      <c r="F32" s="17" t="s">
        <v>21</v>
      </c>
      <c r="G32" s="17" t="s">
        <v>83</v>
      </c>
    </row>
    <row r="33" spans="5:7" x14ac:dyDescent="0.25">
      <c r="E33" s="18" t="str">
        <f t="shared" si="0"/>
        <v>PR_GUAYANILLA</v>
      </c>
      <c r="F33" s="18" t="s">
        <v>21</v>
      </c>
      <c r="G33" s="18" t="s">
        <v>84</v>
      </c>
    </row>
    <row r="34" spans="5:7" x14ac:dyDescent="0.25">
      <c r="E34" s="17" t="str">
        <f t="shared" si="0"/>
        <v>PR_GUAYNABO</v>
      </c>
      <c r="F34" s="17" t="s">
        <v>21</v>
      </c>
      <c r="G34" s="17" t="s">
        <v>85</v>
      </c>
    </row>
    <row r="35" spans="5:7" x14ac:dyDescent="0.25">
      <c r="E35" s="18" t="str">
        <f t="shared" si="0"/>
        <v>PR_GURABO</v>
      </c>
      <c r="F35" s="18" t="s">
        <v>21</v>
      </c>
      <c r="G35" s="18" t="s">
        <v>86</v>
      </c>
    </row>
    <row r="36" spans="5:7" x14ac:dyDescent="0.25">
      <c r="E36" s="17" t="str">
        <f t="shared" si="0"/>
        <v>PR_HATILLO</v>
      </c>
      <c r="F36" s="17" t="s">
        <v>21</v>
      </c>
      <c r="G36" s="17" t="s">
        <v>87</v>
      </c>
    </row>
    <row r="37" spans="5:7" x14ac:dyDescent="0.25">
      <c r="E37" s="18" t="str">
        <f t="shared" si="0"/>
        <v>PR_HORMIGUEROS</v>
      </c>
      <c r="F37" s="18" t="s">
        <v>21</v>
      </c>
      <c r="G37" s="18" t="s">
        <v>88</v>
      </c>
    </row>
    <row r="38" spans="5:7" x14ac:dyDescent="0.25">
      <c r="E38" s="17" t="str">
        <f t="shared" si="0"/>
        <v>PR_HUMACAO</v>
      </c>
      <c r="F38" s="17" t="s">
        <v>21</v>
      </c>
      <c r="G38" s="17" t="s">
        <v>89</v>
      </c>
    </row>
    <row r="39" spans="5:7" x14ac:dyDescent="0.25">
      <c r="E39" s="18" t="str">
        <f t="shared" si="0"/>
        <v>PR_ISABELA</v>
      </c>
      <c r="F39" s="18" t="s">
        <v>21</v>
      </c>
      <c r="G39" s="18" t="s">
        <v>90</v>
      </c>
    </row>
    <row r="40" spans="5:7" x14ac:dyDescent="0.25">
      <c r="E40" s="17" t="str">
        <f t="shared" si="0"/>
        <v>PR_JAYUYA</v>
      </c>
      <c r="F40" s="17" t="s">
        <v>21</v>
      </c>
      <c r="G40" s="17" t="s">
        <v>91</v>
      </c>
    </row>
    <row r="41" spans="5:7" x14ac:dyDescent="0.25">
      <c r="E41" s="18" t="str">
        <f t="shared" si="0"/>
        <v>PR_JUANA DIAZ</v>
      </c>
      <c r="F41" s="18" t="s">
        <v>21</v>
      </c>
      <c r="G41" s="18" t="s">
        <v>92</v>
      </c>
    </row>
    <row r="42" spans="5:7" x14ac:dyDescent="0.25">
      <c r="E42" s="17" t="str">
        <f t="shared" si="0"/>
        <v>PR_JUNCOS</v>
      </c>
      <c r="F42" s="17" t="s">
        <v>21</v>
      </c>
      <c r="G42" s="17" t="s">
        <v>93</v>
      </c>
    </row>
    <row r="43" spans="5:7" x14ac:dyDescent="0.25">
      <c r="E43" s="18" t="str">
        <f t="shared" si="0"/>
        <v>PR_LAJAS</v>
      </c>
      <c r="F43" s="18" t="s">
        <v>21</v>
      </c>
      <c r="G43" s="18" t="s">
        <v>94</v>
      </c>
    </row>
    <row r="44" spans="5:7" x14ac:dyDescent="0.25">
      <c r="E44" s="17" t="str">
        <f t="shared" si="0"/>
        <v>PR_LARES</v>
      </c>
      <c r="F44" s="17" t="s">
        <v>21</v>
      </c>
      <c r="G44" s="17" t="s">
        <v>95</v>
      </c>
    </row>
    <row r="45" spans="5:7" x14ac:dyDescent="0.25">
      <c r="E45" s="18" t="str">
        <f t="shared" si="0"/>
        <v>PR_LAS MARIAS</v>
      </c>
      <c r="F45" s="18" t="s">
        <v>21</v>
      </c>
      <c r="G45" s="18" t="s">
        <v>96</v>
      </c>
    </row>
    <row r="46" spans="5:7" x14ac:dyDescent="0.25">
      <c r="E46" s="17" t="str">
        <f t="shared" si="0"/>
        <v>PR_LAS PIEDRAS</v>
      </c>
      <c r="F46" s="17" t="s">
        <v>21</v>
      </c>
      <c r="G46" s="17" t="s">
        <v>97</v>
      </c>
    </row>
    <row r="47" spans="5:7" x14ac:dyDescent="0.25">
      <c r="E47" s="18" t="str">
        <f t="shared" si="0"/>
        <v>PR_LOIZA</v>
      </c>
      <c r="F47" s="18" t="s">
        <v>21</v>
      </c>
      <c r="G47" s="18" t="s">
        <v>98</v>
      </c>
    </row>
    <row r="48" spans="5:7" x14ac:dyDescent="0.25">
      <c r="E48" s="17" t="str">
        <f t="shared" si="0"/>
        <v>PR_LUQUILLO</v>
      </c>
      <c r="F48" s="17" t="s">
        <v>21</v>
      </c>
      <c r="G48" s="17" t="s">
        <v>99</v>
      </c>
    </row>
    <row r="49" spans="5:7" x14ac:dyDescent="0.25">
      <c r="E49" s="18" t="str">
        <f t="shared" ref="E49:E112" si="1">UPPER(F49&amp;"_"&amp;G49)</f>
        <v>PR_MANATI</v>
      </c>
      <c r="F49" s="18" t="s">
        <v>21</v>
      </c>
      <c r="G49" s="18" t="s">
        <v>26</v>
      </c>
    </row>
    <row r="50" spans="5:7" x14ac:dyDescent="0.25">
      <c r="E50" s="17" t="str">
        <f t="shared" si="1"/>
        <v>PR_MARICAO</v>
      </c>
      <c r="F50" s="17" t="s">
        <v>21</v>
      </c>
      <c r="G50" s="17" t="s">
        <v>100</v>
      </c>
    </row>
    <row r="51" spans="5:7" x14ac:dyDescent="0.25">
      <c r="E51" s="18" t="str">
        <f t="shared" si="1"/>
        <v>PR_MAUNABO</v>
      </c>
      <c r="F51" s="18" t="s">
        <v>21</v>
      </c>
      <c r="G51" s="18" t="s">
        <v>101</v>
      </c>
    </row>
    <row r="52" spans="5:7" x14ac:dyDescent="0.25">
      <c r="E52" s="17" t="str">
        <f t="shared" si="1"/>
        <v>PR_MAYAGUEZ</v>
      </c>
      <c r="F52" s="17" t="s">
        <v>21</v>
      </c>
      <c r="G52" s="17" t="s">
        <v>102</v>
      </c>
    </row>
    <row r="53" spans="5:7" x14ac:dyDescent="0.25">
      <c r="E53" s="18" t="str">
        <f t="shared" si="1"/>
        <v>PR_MOCA</v>
      </c>
      <c r="F53" s="18" t="s">
        <v>21</v>
      </c>
      <c r="G53" s="18" t="s">
        <v>103</v>
      </c>
    </row>
    <row r="54" spans="5:7" x14ac:dyDescent="0.25">
      <c r="E54" s="17" t="str">
        <f t="shared" si="1"/>
        <v>PR_MOROVIS</v>
      </c>
      <c r="F54" s="17" t="s">
        <v>21</v>
      </c>
      <c r="G54" s="17" t="s">
        <v>104</v>
      </c>
    </row>
    <row r="55" spans="5:7" x14ac:dyDescent="0.25">
      <c r="E55" s="18" t="str">
        <f t="shared" si="1"/>
        <v>PR_NAGUABO</v>
      </c>
      <c r="F55" s="18" t="s">
        <v>21</v>
      </c>
      <c r="G55" s="18" t="s">
        <v>105</v>
      </c>
    </row>
    <row r="56" spans="5:7" x14ac:dyDescent="0.25">
      <c r="E56" s="17" t="str">
        <f t="shared" si="1"/>
        <v>PR_NARANJITO</v>
      </c>
      <c r="F56" s="17" t="s">
        <v>21</v>
      </c>
      <c r="G56" s="17" t="s">
        <v>106</v>
      </c>
    </row>
    <row r="57" spans="5:7" x14ac:dyDescent="0.25">
      <c r="E57" s="18" t="str">
        <f t="shared" si="1"/>
        <v>PR_OROCOVIS</v>
      </c>
      <c r="F57" s="18" t="s">
        <v>21</v>
      </c>
      <c r="G57" s="18" t="s">
        <v>107</v>
      </c>
    </row>
    <row r="58" spans="5:7" x14ac:dyDescent="0.25">
      <c r="E58" s="17" t="str">
        <f t="shared" si="1"/>
        <v>PR_PATILLAS</v>
      </c>
      <c r="F58" s="17" t="s">
        <v>21</v>
      </c>
      <c r="G58" s="17" t="s">
        <v>108</v>
      </c>
    </row>
    <row r="59" spans="5:7" x14ac:dyDescent="0.25">
      <c r="E59" s="18" t="str">
        <f t="shared" si="1"/>
        <v>PR_PENUELAS</v>
      </c>
      <c r="F59" s="18" t="s">
        <v>21</v>
      </c>
      <c r="G59" s="18" t="s">
        <v>109</v>
      </c>
    </row>
    <row r="60" spans="5:7" x14ac:dyDescent="0.25">
      <c r="E60" s="17" t="str">
        <f t="shared" si="1"/>
        <v>PR_PONCE</v>
      </c>
      <c r="F60" s="17" t="s">
        <v>21</v>
      </c>
      <c r="G60" s="17" t="s">
        <v>110</v>
      </c>
    </row>
    <row r="61" spans="5:7" x14ac:dyDescent="0.25">
      <c r="E61" s="18" t="str">
        <f t="shared" si="1"/>
        <v>PR_QUEBRADILLAS</v>
      </c>
      <c r="F61" s="18" t="s">
        <v>21</v>
      </c>
      <c r="G61" s="18" t="s">
        <v>111</v>
      </c>
    </row>
    <row r="62" spans="5:7" x14ac:dyDescent="0.25">
      <c r="E62" s="17" t="str">
        <f t="shared" si="1"/>
        <v>PR_RINCON</v>
      </c>
      <c r="F62" s="17" t="s">
        <v>21</v>
      </c>
      <c r="G62" s="17" t="s">
        <v>112</v>
      </c>
    </row>
    <row r="63" spans="5:7" x14ac:dyDescent="0.25">
      <c r="E63" s="18" t="str">
        <f t="shared" si="1"/>
        <v>PR_RIO GRANDE</v>
      </c>
      <c r="F63" s="18" t="s">
        <v>21</v>
      </c>
      <c r="G63" s="18" t="s">
        <v>113</v>
      </c>
    </row>
    <row r="64" spans="5:7" x14ac:dyDescent="0.25">
      <c r="E64" s="17" t="str">
        <f t="shared" si="1"/>
        <v>PR_SABANA GRANDE</v>
      </c>
      <c r="F64" s="17" t="s">
        <v>21</v>
      </c>
      <c r="G64" s="17" t="s">
        <v>114</v>
      </c>
    </row>
    <row r="65" spans="5:7" x14ac:dyDescent="0.25">
      <c r="E65" s="18" t="str">
        <f t="shared" si="1"/>
        <v>PR_SALINAS</v>
      </c>
      <c r="F65" s="18" t="s">
        <v>21</v>
      </c>
      <c r="G65" s="18" t="s">
        <v>115</v>
      </c>
    </row>
    <row r="66" spans="5:7" x14ac:dyDescent="0.25">
      <c r="E66" s="17" t="str">
        <f t="shared" si="1"/>
        <v>PR_SAN GERMAN</v>
      </c>
      <c r="F66" s="17" t="s">
        <v>21</v>
      </c>
      <c r="G66" s="17" t="s">
        <v>116</v>
      </c>
    </row>
    <row r="67" spans="5:7" x14ac:dyDescent="0.25">
      <c r="E67" s="18" t="str">
        <f t="shared" si="1"/>
        <v>PR_SAN JUAN</v>
      </c>
      <c r="F67" s="18" t="s">
        <v>21</v>
      </c>
      <c r="G67" s="18" t="s">
        <v>38</v>
      </c>
    </row>
    <row r="68" spans="5:7" x14ac:dyDescent="0.25">
      <c r="E68" s="17" t="str">
        <f t="shared" si="1"/>
        <v>PR_SAN LORENZO</v>
      </c>
      <c r="F68" s="17" t="s">
        <v>21</v>
      </c>
      <c r="G68" s="17" t="s">
        <v>117</v>
      </c>
    </row>
    <row r="69" spans="5:7" x14ac:dyDescent="0.25">
      <c r="E69" s="18" t="str">
        <f t="shared" si="1"/>
        <v>PR_SAN SEBASTIAN</v>
      </c>
      <c r="F69" s="18" t="s">
        <v>21</v>
      </c>
      <c r="G69" s="18" t="s">
        <v>118</v>
      </c>
    </row>
    <row r="70" spans="5:7" x14ac:dyDescent="0.25">
      <c r="E70" s="17" t="str">
        <f t="shared" si="1"/>
        <v>PR_SANTA ISABEL</v>
      </c>
      <c r="F70" s="17" t="s">
        <v>21</v>
      </c>
      <c r="G70" s="17" t="s">
        <v>119</v>
      </c>
    </row>
    <row r="71" spans="5:7" x14ac:dyDescent="0.25">
      <c r="E71" s="18" t="str">
        <f t="shared" si="1"/>
        <v>PR_TOA ALTA</v>
      </c>
      <c r="F71" s="18" t="s">
        <v>21</v>
      </c>
      <c r="G71" s="18" t="s">
        <v>120</v>
      </c>
    </row>
    <row r="72" spans="5:7" x14ac:dyDescent="0.25">
      <c r="E72" s="17" t="str">
        <f t="shared" si="1"/>
        <v>PR_TOA BAJA</v>
      </c>
      <c r="F72" s="17" t="s">
        <v>21</v>
      </c>
      <c r="G72" s="17" t="s">
        <v>121</v>
      </c>
    </row>
    <row r="73" spans="5:7" x14ac:dyDescent="0.25">
      <c r="E73" s="18" t="str">
        <f t="shared" si="1"/>
        <v>PR_TRUJILLO ALTO</v>
      </c>
      <c r="F73" s="18" t="s">
        <v>21</v>
      </c>
      <c r="G73" s="18" t="s">
        <v>122</v>
      </c>
    </row>
    <row r="74" spans="5:7" x14ac:dyDescent="0.25">
      <c r="E74" s="17" t="str">
        <f t="shared" si="1"/>
        <v>PR_UTUADO</v>
      </c>
      <c r="F74" s="17" t="s">
        <v>21</v>
      </c>
      <c r="G74" s="17" t="s">
        <v>123</v>
      </c>
    </row>
    <row r="75" spans="5:7" x14ac:dyDescent="0.25">
      <c r="E75" s="18" t="str">
        <f t="shared" si="1"/>
        <v>PR_VEGA ALTA</v>
      </c>
      <c r="F75" s="18" t="s">
        <v>21</v>
      </c>
      <c r="G75" s="18" t="s">
        <v>124</v>
      </c>
    </row>
    <row r="76" spans="5:7" x14ac:dyDescent="0.25">
      <c r="E76" s="17" t="str">
        <f t="shared" si="1"/>
        <v>PR_VEGA BAJA</v>
      </c>
      <c r="F76" s="17" t="s">
        <v>21</v>
      </c>
      <c r="G76" s="17" t="s">
        <v>125</v>
      </c>
    </row>
    <row r="77" spans="5:7" x14ac:dyDescent="0.25">
      <c r="E77" s="18" t="str">
        <f t="shared" si="1"/>
        <v>PR_VIEQUES</v>
      </c>
      <c r="F77" s="18" t="s">
        <v>21</v>
      </c>
      <c r="G77" s="18" t="s">
        <v>126</v>
      </c>
    </row>
    <row r="78" spans="5:7" x14ac:dyDescent="0.25">
      <c r="E78" s="17" t="str">
        <f t="shared" si="1"/>
        <v>PR_VILLALBA</v>
      </c>
      <c r="F78" s="17" t="s">
        <v>21</v>
      </c>
      <c r="G78" s="17" t="s">
        <v>127</v>
      </c>
    </row>
    <row r="79" spans="5:7" x14ac:dyDescent="0.25">
      <c r="E79" s="18" t="str">
        <f t="shared" si="1"/>
        <v>PR_YABUCOA</v>
      </c>
      <c r="F79" s="18" t="s">
        <v>21</v>
      </c>
      <c r="G79" s="18" t="s">
        <v>128</v>
      </c>
    </row>
    <row r="80" spans="5:7" ht="15.75" thickBot="1" x14ac:dyDescent="0.3">
      <c r="E80" s="76" t="str">
        <f t="shared" si="1"/>
        <v>PR_YAUCO</v>
      </c>
      <c r="F80" s="76" t="s">
        <v>21</v>
      </c>
      <c r="G80" s="76" t="s">
        <v>129</v>
      </c>
    </row>
    <row r="81" spans="5:7" x14ac:dyDescent="0.25">
      <c r="E81" s="18" t="str">
        <f t="shared" si="1"/>
        <v>VI_ST. CROIX</v>
      </c>
      <c r="F81" s="18" t="s">
        <v>22</v>
      </c>
      <c r="G81" s="18" t="s">
        <v>27</v>
      </c>
    </row>
    <row r="82" spans="5:7" x14ac:dyDescent="0.25">
      <c r="E82" s="17" t="str">
        <f t="shared" si="1"/>
        <v>VI_ST. JOHN</v>
      </c>
      <c r="F82" s="17" t="s">
        <v>22</v>
      </c>
      <c r="G82" s="17" t="s">
        <v>28</v>
      </c>
    </row>
    <row r="83" spans="5:7" ht="15.75" thickBot="1" x14ac:dyDescent="0.3">
      <c r="E83" s="123" t="str">
        <f t="shared" si="1"/>
        <v>VI_ST. THOMAS</v>
      </c>
      <c r="F83" s="123" t="s">
        <v>22</v>
      </c>
      <c r="G83" s="123" t="s">
        <v>29</v>
      </c>
    </row>
    <row r="84" spans="5:7" x14ac:dyDescent="0.25">
      <c r="E84" s="17" t="str">
        <f t="shared" si="1"/>
        <v>NJ_ATLANTIC</v>
      </c>
      <c r="F84" s="17" t="s">
        <v>240</v>
      </c>
      <c r="G84" s="17" t="s">
        <v>242</v>
      </c>
    </row>
    <row r="85" spans="5:7" x14ac:dyDescent="0.25">
      <c r="E85" s="18" t="str">
        <f t="shared" si="1"/>
        <v>NJ_BERGEN</v>
      </c>
      <c r="F85" s="18" t="s">
        <v>240</v>
      </c>
      <c r="G85" s="18" t="s">
        <v>243</v>
      </c>
    </row>
    <row r="86" spans="5:7" x14ac:dyDescent="0.25">
      <c r="E86" s="17" t="str">
        <f t="shared" si="1"/>
        <v>NJ_BURLINGTON</v>
      </c>
      <c r="F86" s="17" t="s">
        <v>240</v>
      </c>
      <c r="G86" s="17" t="s">
        <v>244</v>
      </c>
    </row>
    <row r="87" spans="5:7" x14ac:dyDescent="0.25">
      <c r="E87" s="18" t="str">
        <f t="shared" si="1"/>
        <v>NJ_CAMDEN</v>
      </c>
      <c r="F87" s="18" t="s">
        <v>240</v>
      </c>
      <c r="G87" s="18" t="s">
        <v>245</v>
      </c>
    </row>
    <row r="88" spans="5:7" x14ac:dyDescent="0.25">
      <c r="E88" s="17" t="str">
        <f t="shared" si="1"/>
        <v>NJ_CAPE MAY</v>
      </c>
      <c r="F88" s="17" t="s">
        <v>240</v>
      </c>
      <c r="G88" s="17" t="s">
        <v>246</v>
      </c>
    </row>
    <row r="89" spans="5:7" x14ac:dyDescent="0.25">
      <c r="E89" s="18" t="str">
        <f t="shared" si="1"/>
        <v>NJ_CUMBERLAND</v>
      </c>
      <c r="F89" s="18" t="s">
        <v>240</v>
      </c>
      <c r="G89" s="18" t="s">
        <v>247</v>
      </c>
    </row>
    <row r="90" spans="5:7" x14ac:dyDescent="0.25">
      <c r="E90" s="17" t="str">
        <f t="shared" si="1"/>
        <v>NJ_ESSEX</v>
      </c>
      <c r="F90" s="17" t="s">
        <v>240</v>
      </c>
      <c r="G90" s="17" t="s">
        <v>248</v>
      </c>
    </row>
    <row r="91" spans="5:7" x14ac:dyDescent="0.25">
      <c r="E91" s="18" t="str">
        <f t="shared" si="1"/>
        <v>NJ_GLOUCESTER</v>
      </c>
      <c r="F91" s="18" t="s">
        <v>240</v>
      </c>
      <c r="G91" s="18" t="s">
        <v>249</v>
      </c>
    </row>
    <row r="92" spans="5:7" x14ac:dyDescent="0.25">
      <c r="E92" s="17" t="str">
        <f t="shared" si="1"/>
        <v>NJ_HUDSON</v>
      </c>
      <c r="F92" s="17" t="s">
        <v>240</v>
      </c>
      <c r="G92" s="17" t="s">
        <v>250</v>
      </c>
    </row>
    <row r="93" spans="5:7" x14ac:dyDescent="0.25">
      <c r="E93" s="18" t="str">
        <f t="shared" si="1"/>
        <v>NJ_HUNTERDON</v>
      </c>
      <c r="F93" s="18" t="s">
        <v>240</v>
      </c>
      <c r="G93" s="18" t="s">
        <v>251</v>
      </c>
    </row>
    <row r="94" spans="5:7" x14ac:dyDescent="0.25">
      <c r="E94" s="17" t="str">
        <f t="shared" si="1"/>
        <v>NJ_MERCER</v>
      </c>
      <c r="F94" s="17" t="s">
        <v>240</v>
      </c>
      <c r="G94" s="17" t="s">
        <v>252</v>
      </c>
    </row>
    <row r="95" spans="5:7" x14ac:dyDescent="0.25">
      <c r="E95" s="18" t="str">
        <f t="shared" si="1"/>
        <v>NJ_MIDDLESEX</v>
      </c>
      <c r="F95" s="18" t="s">
        <v>240</v>
      </c>
      <c r="G95" s="18" t="s">
        <v>253</v>
      </c>
    </row>
    <row r="96" spans="5:7" x14ac:dyDescent="0.25">
      <c r="E96" s="17" t="str">
        <f t="shared" si="1"/>
        <v>NJ_MONMOUTH</v>
      </c>
      <c r="F96" s="17" t="s">
        <v>240</v>
      </c>
      <c r="G96" s="17" t="s">
        <v>254</v>
      </c>
    </row>
    <row r="97" spans="5:7" x14ac:dyDescent="0.25">
      <c r="E97" s="18" t="str">
        <f t="shared" si="1"/>
        <v>NJ_MORRIS</v>
      </c>
      <c r="F97" s="18" t="s">
        <v>240</v>
      </c>
      <c r="G97" s="18" t="s">
        <v>255</v>
      </c>
    </row>
    <row r="98" spans="5:7" x14ac:dyDescent="0.25">
      <c r="E98" s="17" t="str">
        <f t="shared" si="1"/>
        <v>NJ_OCEAN</v>
      </c>
      <c r="F98" s="17" t="s">
        <v>240</v>
      </c>
      <c r="G98" s="17" t="s">
        <v>256</v>
      </c>
    </row>
    <row r="99" spans="5:7" x14ac:dyDescent="0.25">
      <c r="E99" s="18" t="str">
        <f t="shared" si="1"/>
        <v>NJ_PASSAIC</v>
      </c>
      <c r="F99" s="18" t="s">
        <v>240</v>
      </c>
      <c r="G99" s="18" t="s">
        <v>257</v>
      </c>
    </row>
    <row r="100" spans="5:7" x14ac:dyDescent="0.25">
      <c r="E100" s="17" t="str">
        <f t="shared" si="1"/>
        <v>NJ_SALEM</v>
      </c>
      <c r="F100" s="17" t="s">
        <v>240</v>
      </c>
      <c r="G100" s="17" t="s">
        <v>258</v>
      </c>
    </row>
    <row r="101" spans="5:7" x14ac:dyDescent="0.25">
      <c r="E101" s="18" t="str">
        <f t="shared" si="1"/>
        <v>NJ_SOMERSET</v>
      </c>
      <c r="F101" s="18" t="s">
        <v>240</v>
      </c>
      <c r="G101" s="18" t="s">
        <v>259</v>
      </c>
    </row>
    <row r="102" spans="5:7" x14ac:dyDescent="0.25">
      <c r="E102" s="17" t="str">
        <f t="shared" si="1"/>
        <v>NJ_SUSSEX</v>
      </c>
      <c r="F102" s="17" t="s">
        <v>240</v>
      </c>
      <c r="G102" s="17" t="s">
        <v>260</v>
      </c>
    </row>
    <row r="103" spans="5:7" x14ac:dyDescent="0.25">
      <c r="E103" s="18" t="str">
        <f t="shared" si="1"/>
        <v>NJ_UNION</v>
      </c>
      <c r="F103" s="18" t="s">
        <v>240</v>
      </c>
      <c r="G103" s="18" t="s">
        <v>261</v>
      </c>
    </row>
    <row r="104" spans="5:7" ht="15.75" thickBot="1" x14ac:dyDescent="0.3">
      <c r="E104" s="76" t="str">
        <f t="shared" si="1"/>
        <v>NJ_WARREN</v>
      </c>
      <c r="F104" s="76" t="s">
        <v>240</v>
      </c>
      <c r="G104" s="76" t="s">
        <v>262</v>
      </c>
    </row>
    <row r="105" spans="5:7" x14ac:dyDescent="0.25">
      <c r="E105" s="18" t="str">
        <f t="shared" si="1"/>
        <v>NY_ALBANY</v>
      </c>
      <c r="F105" s="18" t="s">
        <v>241</v>
      </c>
      <c r="G105" s="18" t="s">
        <v>263</v>
      </c>
    </row>
    <row r="106" spans="5:7" x14ac:dyDescent="0.25">
      <c r="E106" s="17" t="str">
        <f t="shared" si="1"/>
        <v>NY_ALLEGANY</v>
      </c>
      <c r="F106" s="17" t="s">
        <v>241</v>
      </c>
      <c r="G106" s="17" t="s">
        <v>264</v>
      </c>
    </row>
    <row r="107" spans="5:7" x14ac:dyDescent="0.25">
      <c r="E107" s="18" t="str">
        <f t="shared" si="1"/>
        <v>NY_BRONX</v>
      </c>
      <c r="F107" s="18" t="s">
        <v>241</v>
      </c>
      <c r="G107" s="18" t="s">
        <v>265</v>
      </c>
    </row>
    <row r="108" spans="5:7" x14ac:dyDescent="0.25">
      <c r="E108" s="17" t="str">
        <f t="shared" si="1"/>
        <v>NY_BROOME</v>
      </c>
      <c r="F108" s="17" t="s">
        <v>241</v>
      </c>
      <c r="G108" s="17" t="s">
        <v>266</v>
      </c>
    </row>
    <row r="109" spans="5:7" x14ac:dyDescent="0.25">
      <c r="E109" s="18" t="str">
        <f t="shared" si="1"/>
        <v>NY_CATTARAUGUS</v>
      </c>
      <c r="F109" s="18" t="s">
        <v>241</v>
      </c>
      <c r="G109" s="18" t="s">
        <v>267</v>
      </c>
    </row>
    <row r="110" spans="5:7" x14ac:dyDescent="0.25">
      <c r="E110" s="17" t="str">
        <f t="shared" si="1"/>
        <v>NY_CAYUGA</v>
      </c>
      <c r="F110" s="17" t="s">
        <v>241</v>
      </c>
      <c r="G110" s="17" t="s">
        <v>268</v>
      </c>
    </row>
    <row r="111" spans="5:7" x14ac:dyDescent="0.25">
      <c r="E111" s="18" t="str">
        <f t="shared" si="1"/>
        <v>NY_CHAUTAUQUA</v>
      </c>
      <c r="F111" s="18" t="s">
        <v>241</v>
      </c>
      <c r="G111" s="18" t="s">
        <v>269</v>
      </c>
    </row>
    <row r="112" spans="5:7" x14ac:dyDescent="0.25">
      <c r="E112" s="17" t="str">
        <f t="shared" si="1"/>
        <v>NY_CHEMUNG</v>
      </c>
      <c r="F112" s="17" t="s">
        <v>241</v>
      </c>
      <c r="G112" s="17" t="s">
        <v>270</v>
      </c>
    </row>
    <row r="113" spans="5:7" x14ac:dyDescent="0.25">
      <c r="E113" s="18" t="str">
        <f t="shared" ref="E113:E166" si="2">UPPER(F113&amp;"_"&amp;G113)</f>
        <v>NY_CHENANGO</v>
      </c>
      <c r="F113" s="18" t="s">
        <v>241</v>
      </c>
      <c r="G113" s="18" t="s">
        <v>271</v>
      </c>
    </row>
    <row r="114" spans="5:7" x14ac:dyDescent="0.25">
      <c r="E114" s="17" t="str">
        <f t="shared" si="2"/>
        <v>NY_CLINTON</v>
      </c>
      <c r="F114" s="17" t="s">
        <v>241</v>
      </c>
      <c r="G114" s="17" t="s">
        <v>272</v>
      </c>
    </row>
    <row r="115" spans="5:7" x14ac:dyDescent="0.25">
      <c r="E115" s="18" t="str">
        <f t="shared" si="2"/>
        <v>NY_COLUMBIA</v>
      </c>
      <c r="F115" s="18" t="s">
        <v>241</v>
      </c>
      <c r="G115" s="18" t="s">
        <v>273</v>
      </c>
    </row>
    <row r="116" spans="5:7" x14ac:dyDescent="0.25">
      <c r="E116" s="17" t="str">
        <f t="shared" si="2"/>
        <v>NY_CORTLAND</v>
      </c>
      <c r="F116" s="17" t="s">
        <v>241</v>
      </c>
      <c r="G116" s="17" t="s">
        <v>274</v>
      </c>
    </row>
    <row r="117" spans="5:7" x14ac:dyDescent="0.25">
      <c r="E117" s="18" t="str">
        <f t="shared" si="2"/>
        <v>NY_DELAWARE</v>
      </c>
      <c r="F117" s="18" t="s">
        <v>241</v>
      </c>
      <c r="G117" s="18" t="s">
        <v>275</v>
      </c>
    </row>
    <row r="118" spans="5:7" x14ac:dyDescent="0.25">
      <c r="E118" s="17" t="str">
        <f t="shared" si="2"/>
        <v>NY_DUTCHESS</v>
      </c>
      <c r="F118" s="17" t="s">
        <v>241</v>
      </c>
      <c r="G118" s="17" t="s">
        <v>276</v>
      </c>
    </row>
    <row r="119" spans="5:7" x14ac:dyDescent="0.25">
      <c r="E119" s="18" t="str">
        <f t="shared" si="2"/>
        <v>NY_ERIE</v>
      </c>
      <c r="F119" s="18" t="s">
        <v>241</v>
      </c>
      <c r="G119" s="18" t="s">
        <v>277</v>
      </c>
    </row>
    <row r="120" spans="5:7" x14ac:dyDescent="0.25">
      <c r="E120" s="17" t="str">
        <f t="shared" si="2"/>
        <v>NY_ESSEX</v>
      </c>
      <c r="F120" s="17" t="s">
        <v>241</v>
      </c>
      <c r="G120" s="17" t="s">
        <v>248</v>
      </c>
    </row>
    <row r="121" spans="5:7" x14ac:dyDescent="0.25">
      <c r="E121" s="18" t="str">
        <f t="shared" si="2"/>
        <v>NY_FRANKLIN</v>
      </c>
      <c r="F121" s="18" t="s">
        <v>241</v>
      </c>
      <c r="G121" s="18" t="s">
        <v>278</v>
      </c>
    </row>
    <row r="122" spans="5:7" x14ac:dyDescent="0.25">
      <c r="E122" s="17" t="str">
        <f t="shared" si="2"/>
        <v>NY_FULTON</v>
      </c>
      <c r="F122" s="17" t="s">
        <v>241</v>
      </c>
      <c r="G122" s="17" t="s">
        <v>279</v>
      </c>
    </row>
    <row r="123" spans="5:7" x14ac:dyDescent="0.25">
      <c r="E123" s="18" t="str">
        <f t="shared" si="2"/>
        <v>NY_GENESEE</v>
      </c>
      <c r="F123" s="18" t="s">
        <v>241</v>
      </c>
      <c r="G123" s="18" t="s">
        <v>280</v>
      </c>
    </row>
    <row r="124" spans="5:7" x14ac:dyDescent="0.25">
      <c r="E124" s="17" t="str">
        <f t="shared" si="2"/>
        <v>NY_GREENE</v>
      </c>
      <c r="F124" s="17" t="s">
        <v>241</v>
      </c>
      <c r="G124" s="17" t="s">
        <v>281</v>
      </c>
    </row>
    <row r="125" spans="5:7" x14ac:dyDescent="0.25">
      <c r="E125" s="18" t="str">
        <f t="shared" si="2"/>
        <v>NY_HAMILTON</v>
      </c>
      <c r="F125" s="18" t="s">
        <v>241</v>
      </c>
      <c r="G125" s="18" t="s">
        <v>282</v>
      </c>
    </row>
    <row r="126" spans="5:7" x14ac:dyDescent="0.25">
      <c r="E126" s="17" t="str">
        <f t="shared" si="2"/>
        <v>NY_HERKIMER</v>
      </c>
      <c r="F126" s="17" t="s">
        <v>241</v>
      </c>
      <c r="G126" s="17" t="s">
        <v>283</v>
      </c>
    </row>
    <row r="127" spans="5:7" x14ac:dyDescent="0.25">
      <c r="E127" s="18" t="str">
        <f t="shared" si="2"/>
        <v>NY_JEFFERSON</v>
      </c>
      <c r="F127" s="18" t="s">
        <v>241</v>
      </c>
      <c r="G127" s="18" t="s">
        <v>284</v>
      </c>
    </row>
    <row r="128" spans="5:7" x14ac:dyDescent="0.25">
      <c r="E128" s="17" t="str">
        <f t="shared" si="2"/>
        <v>NY_KINGS</v>
      </c>
      <c r="F128" s="17" t="s">
        <v>241</v>
      </c>
      <c r="G128" s="17" t="s">
        <v>285</v>
      </c>
    </row>
    <row r="129" spans="5:7" x14ac:dyDescent="0.25">
      <c r="E129" s="18" t="str">
        <f t="shared" si="2"/>
        <v>NY_LEWIS</v>
      </c>
      <c r="F129" s="18" t="s">
        <v>241</v>
      </c>
      <c r="G129" s="18" t="s">
        <v>286</v>
      </c>
    </row>
    <row r="130" spans="5:7" x14ac:dyDescent="0.25">
      <c r="E130" s="17" t="str">
        <f t="shared" si="2"/>
        <v>NY_LIVINGSTON</v>
      </c>
      <c r="F130" s="17" t="s">
        <v>241</v>
      </c>
      <c r="G130" s="17" t="s">
        <v>287</v>
      </c>
    </row>
    <row r="131" spans="5:7" x14ac:dyDescent="0.25">
      <c r="E131" s="18" t="str">
        <f t="shared" si="2"/>
        <v>NY_MADISON</v>
      </c>
      <c r="F131" s="18" t="s">
        <v>241</v>
      </c>
      <c r="G131" s="18" t="s">
        <v>288</v>
      </c>
    </row>
    <row r="132" spans="5:7" x14ac:dyDescent="0.25">
      <c r="E132" s="17" t="str">
        <f t="shared" si="2"/>
        <v>NY_MONROE</v>
      </c>
      <c r="F132" s="17" t="s">
        <v>241</v>
      </c>
      <c r="G132" s="17" t="s">
        <v>289</v>
      </c>
    </row>
    <row r="133" spans="5:7" x14ac:dyDescent="0.25">
      <c r="E133" s="18" t="str">
        <f t="shared" si="2"/>
        <v>NY_MONTGOMERY</v>
      </c>
      <c r="F133" s="18" t="s">
        <v>241</v>
      </c>
      <c r="G133" s="18" t="s">
        <v>290</v>
      </c>
    </row>
    <row r="134" spans="5:7" x14ac:dyDescent="0.25">
      <c r="E134" s="17" t="str">
        <f t="shared" si="2"/>
        <v>NY_NASSAU</v>
      </c>
      <c r="F134" s="17" t="s">
        <v>241</v>
      </c>
      <c r="G134" s="17" t="s">
        <v>291</v>
      </c>
    </row>
    <row r="135" spans="5:7" x14ac:dyDescent="0.25">
      <c r="E135" s="18" t="str">
        <f t="shared" si="2"/>
        <v>NY_NEW YORK</v>
      </c>
      <c r="F135" s="18" t="s">
        <v>241</v>
      </c>
      <c r="G135" s="18" t="s">
        <v>292</v>
      </c>
    </row>
    <row r="136" spans="5:7" x14ac:dyDescent="0.25">
      <c r="E136" s="17" t="str">
        <f t="shared" si="2"/>
        <v>NY_NIAGARA</v>
      </c>
      <c r="F136" s="17" t="s">
        <v>241</v>
      </c>
      <c r="G136" s="17" t="s">
        <v>293</v>
      </c>
    </row>
    <row r="137" spans="5:7" x14ac:dyDescent="0.25">
      <c r="E137" s="18" t="str">
        <f t="shared" si="2"/>
        <v>NY_ONEIDA</v>
      </c>
      <c r="F137" s="18" t="s">
        <v>241</v>
      </c>
      <c r="G137" s="18" t="s">
        <v>294</v>
      </c>
    </row>
    <row r="138" spans="5:7" x14ac:dyDescent="0.25">
      <c r="E138" s="17" t="str">
        <f t="shared" si="2"/>
        <v>NY_ONONDAGA</v>
      </c>
      <c r="F138" s="17" t="s">
        <v>241</v>
      </c>
      <c r="G138" s="17" t="s">
        <v>295</v>
      </c>
    </row>
    <row r="139" spans="5:7" x14ac:dyDescent="0.25">
      <c r="E139" s="18" t="str">
        <f t="shared" si="2"/>
        <v>NY_ONTARIO</v>
      </c>
      <c r="F139" s="18" t="s">
        <v>241</v>
      </c>
      <c r="G139" s="18" t="s">
        <v>296</v>
      </c>
    </row>
    <row r="140" spans="5:7" x14ac:dyDescent="0.25">
      <c r="E140" s="17" t="str">
        <f t="shared" si="2"/>
        <v>NY_ORANGE</v>
      </c>
      <c r="F140" s="17" t="s">
        <v>241</v>
      </c>
      <c r="G140" s="17" t="s">
        <v>297</v>
      </c>
    </row>
    <row r="141" spans="5:7" x14ac:dyDescent="0.25">
      <c r="E141" s="18" t="str">
        <f t="shared" si="2"/>
        <v>NY_ORLEANS</v>
      </c>
      <c r="F141" s="18" t="s">
        <v>241</v>
      </c>
      <c r="G141" s="18" t="s">
        <v>298</v>
      </c>
    </row>
    <row r="142" spans="5:7" x14ac:dyDescent="0.25">
      <c r="E142" s="17" t="str">
        <f t="shared" si="2"/>
        <v>NY_OSWEGO</v>
      </c>
      <c r="F142" s="17" t="s">
        <v>241</v>
      </c>
      <c r="G142" s="17" t="s">
        <v>299</v>
      </c>
    </row>
    <row r="143" spans="5:7" x14ac:dyDescent="0.25">
      <c r="E143" s="18" t="str">
        <f t="shared" si="2"/>
        <v>NY_OTSEGO</v>
      </c>
      <c r="F143" s="18" t="s">
        <v>241</v>
      </c>
      <c r="G143" s="18" t="s">
        <v>300</v>
      </c>
    </row>
    <row r="144" spans="5:7" x14ac:dyDescent="0.25">
      <c r="E144" s="17" t="str">
        <f t="shared" si="2"/>
        <v>NY_PUTNAM</v>
      </c>
      <c r="F144" s="17" t="s">
        <v>241</v>
      </c>
      <c r="G144" s="17" t="s">
        <v>301</v>
      </c>
    </row>
    <row r="145" spans="5:7" x14ac:dyDescent="0.25">
      <c r="E145" s="18" t="str">
        <f t="shared" si="2"/>
        <v>NY_QUEENS</v>
      </c>
      <c r="F145" s="18" t="s">
        <v>241</v>
      </c>
      <c r="G145" s="18" t="s">
        <v>302</v>
      </c>
    </row>
    <row r="146" spans="5:7" x14ac:dyDescent="0.25">
      <c r="E146" s="17" t="str">
        <f t="shared" si="2"/>
        <v>NY_RENSSELAER</v>
      </c>
      <c r="F146" s="17" t="s">
        <v>241</v>
      </c>
      <c r="G146" s="17" t="s">
        <v>303</v>
      </c>
    </row>
    <row r="147" spans="5:7" x14ac:dyDescent="0.25">
      <c r="E147" s="18" t="str">
        <f t="shared" si="2"/>
        <v>NY_RICHMOND</v>
      </c>
      <c r="F147" s="18" t="s">
        <v>241</v>
      </c>
      <c r="G147" s="18" t="s">
        <v>304</v>
      </c>
    </row>
    <row r="148" spans="5:7" x14ac:dyDescent="0.25">
      <c r="E148" s="17" t="str">
        <f t="shared" si="2"/>
        <v>NY_ROCKLAND</v>
      </c>
      <c r="F148" s="17" t="s">
        <v>241</v>
      </c>
      <c r="G148" s="17" t="s">
        <v>305</v>
      </c>
    </row>
    <row r="149" spans="5:7" x14ac:dyDescent="0.25">
      <c r="E149" s="18" t="str">
        <f t="shared" si="2"/>
        <v>NY_ST. LAWRENCE</v>
      </c>
      <c r="F149" s="18" t="s">
        <v>241</v>
      </c>
      <c r="G149" s="18" t="s">
        <v>306</v>
      </c>
    </row>
    <row r="150" spans="5:7" x14ac:dyDescent="0.25">
      <c r="E150" s="17" t="str">
        <f t="shared" si="2"/>
        <v>NY_SARATOGA</v>
      </c>
      <c r="F150" s="17" t="s">
        <v>241</v>
      </c>
      <c r="G150" s="17" t="s">
        <v>307</v>
      </c>
    </row>
    <row r="151" spans="5:7" x14ac:dyDescent="0.25">
      <c r="E151" s="18" t="str">
        <f t="shared" si="2"/>
        <v>NY_SCHENECTADY</v>
      </c>
      <c r="F151" s="18" t="s">
        <v>241</v>
      </c>
      <c r="G151" s="18" t="s">
        <v>308</v>
      </c>
    </row>
    <row r="152" spans="5:7" x14ac:dyDescent="0.25">
      <c r="E152" s="17" t="str">
        <f t="shared" si="2"/>
        <v>NY_SCHOHARIE</v>
      </c>
      <c r="F152" s="17" t="s">
        <v>241</v>
      </c>
      <c r="G152" s="17" t="s">
        <v>309</v>
      </c>
    </row>
    <row r="153" spans="5:7" x14ac:dyDescent="0.25">
      <c r="E153" s="18" t="str">
        <f t="shared" si="2"/>
        <v>NY_SCHUYLER</v>
      </c>
      <c r="F153" s="18" t="s">
        <v>241</v>
      </c>
      <c r="G153" s="18" t="s">
        <v>310</v>
      </c>
    </row>
    <row r="154" spans="5:7" x14ac:dyDescent="0.25">
      <c r="E154" s="17" t="str">
        <f t="shared" si="2"/>
        <v>NY_SENECA</v>
      </c>
      <c r="F154" s="17" t="s">
        <v>241</v>
      </c>
      <c r="G154" s="17" t="s">
        <v>311</v>
      </c>
    </row>
    <row r="155" spans="5:7" x14ac:dyDescent="0.25">
      <c r="E155" s="18" t="str">
        <f t="shared" si="2"/>
        <v>NY_STEUBEN</v>
      </c>
      <c r="F155" s="18" t="s">
        <v>241</v>
      </c>
      <c r="G155" s="18" t="s">
        <v>312</v>
      </c>
    </row>
    <row r="156" spans="5:7" x14ac:dyDescent="0.25">
      <c r="E156" s="17" t="str">
        <f t="shared" si="2"/>
        <v>NY_SUFFOLK</v>
      </c>
      <c r="F156" s="17" t="s">
        <v>241</v>
      </c>
      <c r="G156" s="17" t="s">
        <v>313</v>
      </c>
    </row>
    <row r="157" spans="5:7" x14ac:dyDescent="0.25">
      <c r="E157" s="18" t="str">
        <f t="shared" si="2"/>
        <v>NY_SULLIVAN</v>
      </c>
      <c r="F157" s="18" t="s">
        <v>241</v>
      </c>
      <c r="G157" s="18" t="s">
        <v>314</v>
      </c>
    </row>
    <row r="158" spans="5:7" x14ac:dyDescent="0.25">
      <c r="E158" s="17" t="str">
        <f t="shared" si="2"/>
        <v>NY_TIOGA</v>
      </c>
      <c r="F158" s="17" t="s">
        <v>241</v>
      </c>
      <c r="G158" s="17" t="s">
        <v>315</v>
      </c>
    </row>
    <row r="159" spans="5:7" x14ac:dyDescent="0.25">
      <c r="E159" s="18" t="str">
        <f t="shared" si="2"/>
        <v>NY_TOMPKINS</v>
      </c>
      <c r="F159" s="18" t="s">
        <v>241</v>
      </c>
      <c r="G159" s="18" t="s">
        <v>316</v>
      </c>
    </row>
    <row r="160" spans="5:7" x14ac:dyDescent="0.25">
      <c r="E160" s="17" t="str">
        <f t="shared" si="2"/>
        <v>NY_ULSTER</v>
      </c>
      <c r="F160" s="17" t="s">
        <v>241</v>
      </c>
      <c r="G160" s="17" t="s">
        <v>317</v>
      </c>
    </row>
    <row r="161" spans="5:7" x14ac:dyDescent="0.25">
      <c r="E161" s="18" t="str">
        <f t="shared" si="2"/>
        <v>NY_WARREN</v>
      </c>
      <c r="F161" s="18" t="s">
        <v>241</v>
      </c>
      <c r="G161" s="18" t="s">
        <v>262</v>
      </c>
    </row>
    <row r="162" spans="5:7" x14ac:dyDescent="0.25">
      <c r="E162" s="17" t="str">
        <f t="shared" si="2"/>
        <v>NY_WASHINGTON</v>
      </c>
      <c r="F162" s="17" t="s">
        <v>241</v>
      </c>
      <c r="G162" s="17" t="s">
        <v>318</v>
      </c>
    </row>
    <row r="163" spans="5:7" x14ac:dyDescent="0.25">
      <c r="E163" s="18" t="str">
        <f t="shared" si="2"/>
        <v>NY_WAYNE</v>
      </c>
      <c r="F163" s="18" t="s">
        <v>241</v>
      </c>
      <c r="G163" s="18" t="s">
        <v>319</v>
      </c>
    </row>
    <row r="164" spans="5:7" x14ac:dyDescent="0.25">
      <c r="E164" s="17" t="str">
        <f t="shared" si="2"/>
        <v>NY_WESTCHESTER</v>
      </c>
      <c r="F164" s="17" t="s">
        <v>241</v>
      </c>
      <c r="G164" s="17" t="s">
        <v>320</v>
      </c>
    </row>
    <row r="165" spans="5:7" x14ac:dyDescent="0.25">
      <c r="E165" s="18" t="str">
        <f t="shared" si="2"/>
        <v>NY_WYOMING</v>
      </c>
      <c r="F165" s="18" t="s">
        <v>241</v>
      </c>
      <c r="G165" s="18" t="s">
        <v>321</v>
      </c>
    </row>
    <row r="166" spans="5:7" x14ac:dyDescent="0.25">
      <c r="E166" s="17" t="str">
        <f t="shared" si="2"/>
        <v>NY_YATES</v>
      </c>
      <c r="F166" s="17" t="s">
        <v>241</v>
      </c>
      <c r="G166" s="17" t="s">
        <v>322</v>
      </c>
    </row>
  </sheetData>
  <sheetProtection algorithmName="SHA-512" hashValue="PiP2cP1jEFz7kKjwdpInnnYx8gOJ56wTs9pJ/XVVFhJYu0EHpuDhTMJEJP64ih28x7QGDXerZy+GhNRHTD+ymg==" saltValue="3TgnT4gosYwz789j3NgSv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ACB8-9762-4DCB-AE14-F6760C893A13}">
  <sheetPr codeName="Sheet4">
    <tabColor theme="9" tint="-0.249977111117893"/>
  </sheetPr>
  <dimension ref="A1:G38"/>
  <sheetViews>
    <sheetView topLeftCell="A10" workbookViewId="0">
      <selection activeCell="D24" sqref="D24"/>
    </sheetView>
  </sheetViews>
  <sheetFormatPr defaultColWidth="9.140625" defaultRowHeight="12.75" x14ac:dyDescent="0.2"/>
  <cols>
    <col min="1" max="1" width="18.42578125" style="163" customWidth="1"/>
    <col min="2" max="2" width="29.5703125" style="163" customWidth="1"/>
    <col min="3" max="4" width="19.5703125" style="153" customWidth="1"/>
    <col min="5" max="5" width="10.140625" style="153" customWidth="1"/>
    <col min="6" max="6" width="11.7109375" style="153" customWidth="1"/>
    <col min="7" max="7" width="16.28515625" style="153" customWidth="1"/>
    <col min="8" max="16384" width="9.140625" style="153"/>
  </cols>
  <sheetData>
    <row r="1" spans="1:7" ht="30" x14ac:dyDescent="0.25">
      <c r="A1" s="152" t="s">
        <v>401</v>
      </c>
      <c r="B1" s="256"/>
      <c r="C1" s="256"/>
      <c r="D1" s="257"/>
    </row>
    <row r="2" spans="1:7" ht="62.25" customHeight="1" x14ac:dyDescent="0.2">
      <c r="A2" s="154" t="s">
        <v>402</v>
      </c>
      <c r="B2" s="258" t="s">
        <v>403</v>
      </c>
      <c r="C2" s="259"/>
      <c r="D2" s="259"/>
    </row>
    <row r="3" spans="1:7" ht="30.75" customHeight="1" x14ac:dyDescent="0.2">
      <c r="A3" s="154" t="s">
        <v>404</v>
      </c>
      <c r="B3" s="253" t="s">
        <v>405</v>
      </c>
      <c r="C3" s="254"/>
      <c r="D3" s="255"/>
    </row>
    <row r="4" spans="1:7" ht="30.75" customHeight="1" x14ac:dyDescent="0.2">
      <c r="A4" s="154" t="s">
        <v>406</v>
      </c>
      <c r="B4" s="155" t="s">
        <v>407</v>
      </c>
      <c r="C4" s="155" t="s">
        <v>408</v>
      </c>
      <c r="D4" s="156" t="s">
        <v>409</v>
      </c>
    </row>
    <row r="5" spans="1:7" ht="30.75" customHeight="1" x14ac:dyDescent="0.2">
      <c r="A5" s="154" t="s">
        <v>410</v>
      </c>
      <c r="B5" s="157" t="s">
        <v>411</v>
      </c>
      <c r="C5" s="158" t="s">
        <v>412</v>
      </c>
      <c r="D5" s="159"/>
    </row>
    <row r="6" spans="1:7" ht="45.75" customHeight="1" x14ac:dyDescent="0.2">
      <c r="A6" s="154" t="s">
        <v>413</v>
      </c>
      <c r="B6" s="253"/>
      <c r="C6" s="254"/>
      <c r="D6" s="255"/>
    </row>
    <row r="7" spans="1:7" ht="30.75" customHeight="1" x14ac:dyDescent="0.2">
      <c r="A7" s="154" t="s">
        <v>414</v>
      </c>
      <c r="B7" s="253" t="s">
        <v>415</v>
      </c>
      <c r="C7" s="254"/>
      <c r="D7" s="255"/>
    </row>
    <row r="8" spans="1:7" ht="30.75" customHeight="1" x14ac:dyDescent="0.2">
      <c r="A8" s="154" t="s">
        <v>416</v>
      </c>
      <c r="B8" s="253" t="s">
        <v>417</v>
      </c>
      <c r="C8" s="254"/>
      <c r="D8" s="255"/>
    </row>
    <row r="9" spans="1:7" ht="30.75" customHeight="1" x14ac:dyDescent="0.2">
      <c r="A9" s="154" t="s">
        <v>418</v>
      </c>
      <c r="B9" s="253" t="s">
        <v>419</v>
      </c>
      <c r="C9" s="254"/>
      <c r="D9" s="255"/>
    </row>
    <row r="10" spans="1:7" ht="30.75" customHeight="1" x14ac:dyDescent="0.2">
      <c r="A10" s="154" t="s">
        <v>420</v>
      </c>
      <c r="B10" s="253" t="s">
        <v>421</v>
      </c>
      <c r="C10" s="254"/>
      <c r="D10" s="255"/>
    </row>
    <row r="11" spans="1:7" ht="30.75" customHeight="1" x14ac:dyDescent="0.2">
      <c r="A11" s="154" t="s">
        <v>422</v>
      </c>
      <c r="B11" s="253"/>
      <c r="C11" s="254"/>
      <c r="D11" s="255"/>
    </row>
    <row r="12" spans="1:7" ht="30.75" customHeight="1" x14ac:dyDescent="0.2">
      <c r="A12" s="154" t="s">
        <v>423</v>
      </c>
      <c r="B12" s="253" t="s">
        <v>424</v>
      </c>
      <c r="C12" s="254"/>
      <c r="D12" s="255"/>
    </row>
    <row r="13" spans="1:7" ht="30.75" customHeight="1" x14ac:dyDescent="0.2">
      <c r="A13" s="154" t="s">
        <v>425</v>
      </c>
      <c r="B13" s="253" t="s">
        <v>421</v>
      </c>
      <c r="C13" s="254"/>
      <c r="D13" s="255"/>
    </row>
    <row r="14" spans="1:7" ht="30.75" customHeight="1" thickBot="1" x14ac:dyDescent="0.25">
      <c r="A14" s="160" t="s">
        <v>426</v>
      </c>
      <c r="B14" s="253" t="s">
        <v>421</v>
      </c>
      <c r="C14" s="254"/>
      <c r="D14" s="255"/>
    </row>
    <row r="15" spans="1:7" ht="15.75" thickBot="1" x14ac:dyDescent="0.3">
      <c r="A15" s="260" t="s">
        <v>427</v>
      </c>
      <c r="B15" s="261"/>
      <c r="C15" s="261"/>
      <c r="D15" s="261"/>
      <c r="E15" s="261"/>
      <c r="F15" s="261"/>
      <c r="G15" s="262"/>
    </row>
    <row r="16" spans="1:7" s="163" customFormat="1" ht="25.5" x14ac:dyDescent="0.2">
      <c r="A16" s="161" t="s">
        <v>428</v>
      </c>
      <c r="B16" s="263" t="s">
        <v>1</v>
      </c>
      <c r="C16" s="263"/>
      <c r="D16" s="162" t="s">
        <v>429</v>
      </c>
      <c r="E16" s="161" t="s">
        <v>430</v>
      </c>
      <c r="F16" s="161" t="s">
        <v>431</v>
      </c>
      <c r="G16" s="161" t="s">
        <v>432</v>
      </c>
    </row>
    <row r="17" spans="1:7" ht="54.75" customHeight="1" x14ac:dyDescent="0.2">
      <c r="A17" s="164" t="s">
        <v>433</v>
      </c>
      <c r="B17" s="252" t="s">
        <v>434</v>
      </c>
      <c r="C17" s="252"/>
      <c r="D17" s="165">
        <v>43938</v>
      </c>
      <c r="E17" s="166"/>
      <c r="F17" s="167"/>
      <c r="G17" s="166"/>
    </row>
    <row r="18" spans="1:7" ht="42" customHeight="1" x14ac:dyDescent="0.2">
      <c r="A18" s="164" t="s">
        <v>433</v>
      </c>
      <c r="B18" s="252" t="s">
        <v>435</v>
      </c>
      <c r="C18" s="252"/>
      <c r="D18" s="165">
        <v>43942</v>
      </c>
      <c r="E18" s="166"/>
      <c r="F18" s="167"/>
      <c r="G18" s="166"/>
    </row>
    <row r="19" spans="1:7" ht="30" customHeight="1" x14ac:dyDescent="0.2">
      <c r="A19" s="164" t="s">
        <v>433</v>
      </c>
      <c r="B19" s="252" t="s">
        <v>436</v>
      </c>
      <c r="C19" s="252"/>
      <c r="D19" s="168">
        <v>43943</v>
      </c>
      <c r="E19" s="169"/>
      <c r="F19" s="169"/>
      <c r="G19" s="169"/>
    </row>
    <row r="20" spans="1:7" ht="41.25" customHeight="1" x14ac:dyDescent="0.2">
      <c r="A20" s="164" t="s">
        <v>433</v>
      </c>
      <c r="B20" s="252" t="s">
        <v>437</v>
      </c>
      <c r="C20" s="252"/>
      <c r="D20" s="168">
        <v>43945</v>
      </c>
      <c r="E20" s="169"/>
      <c r="F20" s="169"/>
      <c r="G20" s="169"/>
    </row>
    <row r="21" spans="1:7" ht="42.75" customHeight="1" x14ac:dyDescent="0.2">
      <c r="A21" s="164" t="s">
        <v>433</v>
      </c>
      <c r="B21" s="252" t="s">
        <v>439</v>
      </c>
      <c r="C21" s="252"/>
      <c r="D21" s="168">
        <v>43957</v>
      </c>
      <c r="E21" s="169"/>
      <c r="F21" s="169"/>
      <c r="G21" s="169"/>
    </row>
    <row r="22" spans="1:7" ht="45.75" customHeight="1" x14ac:dyDescent="0.2">
      <c r="A22" s="164" t="s">
        <v>433</v>
      </c>
      <c r="B22" s="252" t="s">
        <v>441</v>
      </c>
      <c r="C22" s="252"/>
      <c r="D22" s="168">
        <v>44246</v>
      </c>
      <c r="E22" s="169"/>
      <c r="F22" s="169"/>
      <c r="G22" s="169"/>
    </row>
    <row r="23" spans="1:7" ht="62.25" customHeight="1" x14ac:dyDescent="0.2">
      <c r="A23" s="170" t="s">
        <v>433</v>
      </c>
      <c r="B23" s="252" t="s">
        <v>443</v>
      </c>
      <c r="C23" s="252"/>
      <c r="D23" s="168">
        <v>44426</v>
      </c>
      <c r="E23" s="173"/>
      <c r="F23" s="174"/>
      <c r="G23" s="173"/>
    </row>
    <row r="24" spans="1:7" x14ac:dyDescent="0.2">
      <c r="A24" s="170"/>
      <c r="B24" s="171"/>
      <c r="C24" s="172"/>
      <c r="D24" s="168"/>
      <c r="E24" s="169"/>
      <c r="F24" s="169"/>
      <c r="G24" s="169"/>
    </row>
    <row r="25" spans="1:7" x14ac:dyDescent="0.2">
      <c r="A25" s="170"/>
      <c r="B25" s="171"/>
      <c r="C25" s="175"/>
      <c r="D25" s="174"/>
      <c r="E25" s="169"/>
      <c r="F25" s="169"/>
      <c r="G25" s="169"/>
    </row>
    <row r="26" spans="1:7" x14ac:dyDescent="0.2">
      <c r="A26" s="176"/>
      <c r="B26" s="177"/>
      <c r="C26" s="175"/>
      <c r="D26" s="174"/>
      <c r="E26" s="169"/>
      <c r="F26" s="169"/>
      <c r="G26" s="169"/>
    </row>
    <row r="27" spans="1:7" ht="27.75" customHeight="1" x14ac:dyDescent="0.2">
      <c r="A27" s="176"/>
      <c r="B27" s="178"/>
      <c r="C27" s="175"/>
      <c r="D27" s="174"/>
      <c r="E27" s="173"/>
      <c r="F27" s="174"/>
      <c r="G27" s="173"/>
    </row>
    <row r="28" spans="1:7" x14ac:dyDescent="0.2">
      <c r="A28" s="176"/>
      <c r="B28" s="177"/>
      <c r="C28" s="175"/>
      <c r="D28" s="174"/>
      <c r="E28" s="173"/>
      <c r="F28" s="173"/>
      <c r="G28" s="173"/>
    </row>
    <row r="29" spans="1:7" x14ac:dyDescent="0.2">
      <c r="A29" s="176"/>
      <c r="B29" s="177"/>
      <c r="C29" s="175"/>
      <c r="D29" s="174"/>
      <c r="E29" s="173"/>
      <c r="F29" s="173"/>
      <c r="G29" s="173"/>
    </row>
    <row r="30" spans="1:7" x14ac:dyDescent="0.2">
      <c r="A30" s="176"/>
      <c r="B30" s="177"/>
      <c r="C30" s="175"/>
      <c r="D30" s="174"/>
      <c r="E30" s="173"/>
      <c r="F30" s="173"/>
      <c r="G30" s="173"/>
    </row>
    <row r="31" spans="1:7" x14ac:dyDescent="0.2">
      <c r="A31" s="176"/>
      <c r="B31" s="177"/>
      <c r="C31" s="175"/>
      <c r="D31" s="174"/>
      <c r="E31" s="173"/>
      <c r="F31" s="174"/>
      <c r="G31" s="173"/>
    </row>
    <row r="32" spans="1:7" x14ac:dyDescent="0.2">
      <c r="A32" s="176"/>
      <c r="B32" s="177"/>
      <c r="C32" s="175"/>
      <c r="D32" s="174"/>
      <c r="E32" s="173"/>
      <c r="F32" s="173"/>
      <c r="G32" s="173"/>
    </row>
    <row r="33" spans="1:7" x14ac:dyDescent="0.2">
      <c r="A33" s="176"/>
      <c r="B33" s="177"/>
      <c r="C33" s="175"/>
      <c r="D33" s="174"/>
      <c r="E33" s="173"/>
      <c r="F33" s="173"/>
      <c r="G33" s="173"/>
    </row>
    <row r="34" spans="1:7" x14ac:dyDescent="0.2">
      <c r="A34" s="176"/>
      <c r="B34" s="177"/>
      <c r="C34" s="175"/>
      <c r="D34" s="174"/>
      <c r="E34" s="173"/>
      <c r="F34" s="173"/>
      <c r="G34" s="173"/>
    </row>
    <row r="35" spans="1:7" x14ac:dyDescent="0.2">
      <c r="A35" s="176"/>
      <c r="B35" s="177"/>
      <c r="C35" s="175"/>
      <c r="D35" s="174"/>
      <c r="E35" s="173"/>
      <c r="F35" s="173"/>
      <c r="G35" s="173"/>
    </row>
    <row r="36" spans="1:7" x14ac:dyDescent="0.2">
      <c r="A36" s="176"/>
      <c r="B36" s="177"/>
      <c r="C36" s="175"/>
      <c r="D36" s="174"/>
      <c r="E36" s="173"/>
      <c r="F36" s="173"/>
      <c r="G36" s="173"/>
    </row>
    <row r="37" spans="1:7" x14ac:dyDescent="0.2">
      <c r="A37" s="176"/>
      <c r="B37" s="177"/>
      <c r="C37" s="175"/>
      <c r="D37" s="174"/>
      <c r="E37" s="173"/>
      <c r="F37" s="173"/>
      <c r="G37" s="173"/>
    </row>
    <row r="38" spans="1:7" x14ac:dyDescent="0.2">
      <c r="A38" s="176"/>
      <c r="B38" s="177"/>
      <c r="C38" s="175"/>
      <c r="D38" s="174"/>
      <c r="E38" s="173"/>
      <c r="F38" s="173"/>
      <c r="G38" s="173"/>
    </row>
  </sheetData>
  <sheetProtection algorithmName="SHA-512" hashValue="fsSLIIkHkrbMj1FG9wri9ulC4JxqN58vMXtvCI4K0xZB1IY+i9Z6Vn3wZiDt/3SvutfMaWk5jKdrtfKzzCwKNQ==" saltValue="w2Uf+IR+jR8z6VdxPzu5gw==" spinCount="100000" sheet="1" objects="1" scenarios="1"/>
  <mergeCells count="21">
    <mergeCell ref="B16:C16"/>
    <mergeCell ref="B17:C17"/>
    <mergeCell ref="B18:C18"/>
    <mergeCell ref="B19:C19"/>
    <mergeCell ref="B20:C20"/>
    <mergeCell ref="B23:C23"/>
    <mergeCell ref="B14:D14"/>
    <mergeCell ref="B1:D1"/>
    <mergeCell ref="B2:D2"/>
    <mergeCell ref="B3:D3"/>
    <mergeCell ref="B6:D6"/>
    <mergeCell ref="B7:D7"/>
    <mergeCell ref="B8:D8"/>
    <mergeCell ref="B9:D9"/>
    <mergeCell ref="B10:D10"/>
    <mergeCell ref="B11:D11"/>
    <mergeCell ref="B12:D12"/>
    <mergeCell ref="B13:D13"/>
    <mergeCell ref="B22:C22"/>
    <mergeCell ref="B21:C21"/>
    <mergeCell ref="A15:G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36</vt:i4>
      </vt:variant>
    </vt:vector>
  </HeadingPairs>
  <TitlesOfParts>
    <vt:vector size="40" baseType="lpstr">
      <vt:lpstr>Instructions</vt:lpstr>
      <vt:lpstr>App &amp; Funding Request Form</vt:lpstr>
      <vt:lpstr>$DB.LOOKUP</vt:lpstr>
      <vt:lpstr>EUC Documentation</vt:lpstr>
      <vt:lpstr>AMIDATA_LOOKUP</vt:lpstr>
      <vt:lpstr>APPLICATION_DATE</vt:lpstr>
      <vt:lpstr>ELIG_BASIS_ANNUAL_RECEIPTS</vt:lpstr>
      <vt:lpstr>ELIG_BASIS_NUM_EMPLOYEES</vt:lpstr>
      <vt:lpstr>FRF_ID</vt:lpstr>
      <vt:lpstr>FRF_ID_MEMBER_ID</vt:lpstr>
      <vt:lpstr>LAST_REVISION_DATE</vt:lpstr>
      <vt:lpstr>MAX_GRANT_AMT</vt:lpstr>
      <vt:lpstr>MEMBER_NAME</vt:lpstr>
      <vt:lpstr>NET_FUNDING_REQUEST</vt:lpstr>
      <vt:lpstr>NONPROFIT_ORG_NAME</vt:lpstr>
      <vt:lpstr>NP_ANNUAL_OPBUDGET_THRESHOLD_ELIGIBILITY</vt:lpstr>
      <vt:lpstr>'App &amp; Funding Request Form'!Print_Titles</vt:lpstr>
      <vt:lpstr>Instructions!Print_Titles</vt:lpstr>
      <vt:lpstr>RANGE_ANALYST_RECOMMENDATION</vt:lpstr>
      <vt:lpstr>RANGE_FUNDING_LEVERAGE</vt:lpstr>
      <vt:lpstr>RANGE_LOOKUP_COUNTY_NJ</vt:lpstr>
      <vt:lpstr>RANGE_LOOKUP_COUNTY_NY</vt:lpstr>
      <vt:lpstr>RANGE_LOOKUP_COUNTY_PLACEHOLDER</vt:lpstr>
      <vt:lpstr>RANGE_LOOKUP_COUNTY_PR</vt:lpstr>
      <vt:lpstr>RANGE_LOOKUP_COUNTY_VI</vt:lpstr>
      <vt:lpstr>RANGE_LOOKUP_ELIGIBILITY_BASIS</vt:lpstr>
      <vt:lpstr>RANGE_LOOKUP_FUNDINGTYPE</vt:lpstr>
      <vt:lpstr>RANGE_LOOKUP_STATE</vt:lpstr>
      <vt:lpstr>RANGE_ORG_OP_STATUS</vt:lpstr>
      <vt:lpstr>RANGE_ORG_TYPE</vt:lpstr>
      <vt:lpstr>RANGE_ORG_TYPE_NONPROFIT</vt:lpstr>
      <vt:lpstr>RANGE_ORG_TYPE_SMALLBUSINESS</vt:lpstr>
      <vt:lpstr>RANGE_OWNERSHIP_STRUCTURE</vt:lpstr>
      <vt:lpstr>RANGE_TAXID_TYPE</vt:lpstr>
      <vt:lpstr>RANGE_TAXID_TYPE_EIN</vt:lpstr>
      <vt:lpstr>RANGE_TAXID_TYPE_SSN</vt:lpstr>
      <vt:lpstr>RANGE_YESNO</vt:lpstr>
      <vt:lpstr>RANGE_YESNO_NO</vt:lpstr>
      <vt:lpstr>RANGE_YESNO_YES</vt:lpstr>
      <vt:lpstr>REVENUE_DECLINE_THRESHOLD_ELIGIBILITY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Rieb,Robert</dc:creator>
  <cp:lastModifiedBy>riebr</cp:lastModifiedBy>
  <cp:lastPrinted>2021-08-18T20:52:25Z</cp:lastPrinted>
  <dcterms:created xsi:type="dcterms:W3CDTF">2006-09-16T00:00:00Z</dcterms:created>
  <dcterms:modified xsi:type="dcterms:W3CDTF">2021-08-18T22:41:05Z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{FF3C9816-4924-4E03-B5AB-9741357DEC69}</vt:lpwstr>
  </property>
</Properties>
</file>